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20\"/>
    </mc:Choice>
  </mc:AlternateContent>
  <xr:revisionPtr revIDLastSave="0" documentId="13_ncr:1_{0E9A0E9E-D409-4C84-828D-FA7F5E93DF0C}" xr6:coauthVersionLast="45" xr6:coauthVersionMax="45" xr10:uidLastSave="{00000000-0000-0000-0000-000000000000}"/>
  <bookViews>
    <workbookView xWindow="840" yWindow="-98" windowWidth="22298" windowHeight="14595" xr2:uid="{00000000-000D-0000-FFFF-FFFF00000000}"/>
  </bookViews>
  <sheets>
    <sheet name="Form responses 1" sheetId="1" r:id="rId1"/>
    <sheet name="Solution" sheetId="2" r:id="rId2"/>
  </sheets>
  <definedNames>
    <definedName name="Ldir">Solution!$J$55</definedName>
    <definedName name="Lrif">Solution!$J$56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" i="1" l="1"/>
  <c r="AT7" i="1"/>
  <c r="AT6" i="1"/>
  <c r="AT5" i="1"/>
  <c r="AT4" i="1"/>
  <c r="AT3" i="1"/>
  <c r="AQ3" i="1" l="1"/>
  <c r="AS3" i="1"/>
  <c r="AQ4" i="1"/>
  <c r="AS4" i="1"/>
  <c r="AQ5" i="1"/>
  <c r="AS5" i="1"/>
  <c r="AQ6" i="1"/>
  <c r="AS6" i="1"/>
  <c r="AQ7" i="1"/>
  <c r="AS7" i="1"/>
  <c r="AS2" i="1"/>
  <c r="AQ2" i="1"/>
  <c r="AO7" i="1"/>
  <c r="AM7" i="1"/>
  <c r="AM6" i="1"/>
  <c r="AO6" i="1" s="1"/>
  <c r="AO5" i="1"/>
  <c r="AM5" i="1"/>
  <c r="AO4" i="1"/>
  <c r="AM4" i="1"/>
  <c r="AM3" i="1"/>
  <c r="AO3" i="1" s="1"/>
  <c r="AO2" i="1"/>
  <c r="AM2" i="1"/>
  <c r="L49" i="2"/>
  <c r="AI7" i="1"/>
  <c r="AI6" i="1"/>
  <c r="AI5" i="1"/>
  <c r="AI4" i="1"/>
  <c r="AI3" i="1"/>
  <c r="AI2" i="1"/>
  <c r="AK3" i="1"/>
  <c r="AK4" i="1"/>
  <c r="AK5" i="1"/>
  <c r="AK6" i="1"/>
  <c r="AK7" i="1"/>
  <c r="AK2" i="1"/>
  <c r="AE3" i="1"/>
  <c r="AG3" i="1"/>
  <c r="AE4" i="1"/>
  <c r="AG4" i="1"/>
  <c r="AE5" i="1"/>
  <c r="AG5" i="1"/>
  <c r="AE6" i="1"/>
  <c r="AG6" i="1"/>
  <c r="AE7" i="1"/>
  <c r="AG7" i="1"/>
  <c r="AG2" i="1"/>
  <c r="AE2" i="1"/>
  <c r="X3" i="1"/>
  <c r="Y3" i="1"/>
  <c r="Z3" i="1"/>
  <c r="AA3" i="1"/>
  <c r="AB3" i="1"/>
  <c r="AC3" i="1"/>
  <c r="X4" i="1"/>
  <c r="Y4" i="1"/>
  <c r="Z4" i="1"/>
  <c r="AA4" i="1"/>
  <c r="AB4" i="1"/>
  <c r="AC4" i="1"/>
  <c r="X5" i="1"/>
  <c r="Y5" i="1"/>
  <c r="Z5" i="1"/>
  <c r="AA5" i="1"/>
  <c r="AB5" i="1"/>
  <c r="AC5" i="1"/>
  <c r="X6" i="1"/>
  <c r="Y6" i="1"/>
  <c r="Z6" i="1"/>
  <c r="AA6" i="1"/>
  <c r="AB6" i="1"/>
  <c r="AC6" i="1"/>
  <c r="X7" i="1"/>
  <c r="Y7" i="1"/>
  <c r="Z7" i="1"/>
  <c r="AA7" i="1"/>
  <c r="AB7" i="1"/>
  <c r="AC7" i="1"/>
  <c r="AC2" i="1"/>
  <c r="AB2" i="1"/>
  <c r="AA2" i="1"/>
  <c r="Z2" i="1"/>
  <c r="Y2" i="1"/>
  <c r="X2" i="1"/>
  <c r="V7" i="1"/>
  <c r="U7" i="1"/>
  <c r="T7" i="1"/>
  <c r="S7" i="1"/>
  <c r="R7" i="1"/>
  <c r="Q7" i="1"/>
  <c r="V6" i="1"/>
  <c r="U6" i="1"/>
  <c r="T6" i="1"/>
  <c r="S6" i="1"/>
  <c r="R6" i="1"/>
  <c r="Q6" i="1"/>
  <c r="V5" i="1"/>
  <c r="U5" i="1"/>
  <c r="T5" i="1"/>
  <c r="S5" i="1"/>
  <c r="R5" i="1"/>
  <c r="Q5" i="1"/>
  <c r="V4" i="1"/>
  <c r="U4" i="1"/>
  <c r="T4" i="1"/>
  <c r="S4" i="1"/>
  <c r="R4" i="1"/>
  <c r="Q4" i="1"/>
  <c r="V3" i="1"/>
  <c r="U3" i="1"/>
  <c r="T3" i="1"/>
  <c r="S3" i="1"/>
  <c r="R3" i="1"/>
  <c r="Q3" i="1"/>
  <c r="V2" i="1"/>
  <c r="U2" i="1"/>
  <c r="T2" i="1"/>
  <c r="S2" i="1"/>
  <c r="R2" i="1"/>
  <c r="Q2" i="1"/>
  <c r="O5" i="1"/>
  <c r="O4" i="1"/>
  <c r="O7" i="1"/>
  <c r="O6" i="1"/>
  <c r="O3" i="1"/>
  <c r="O2" i="1"/>
  <c r="M7" i="1"/>
  <c r="M6" i="1"/>
  <c r="M5" i="1"/>
  <c r="M4" i="1"/>
  <c r="M3" i="1"/>
  <c r="M2" i="1"/>
  <c r="F7" i="1"/>
  <c r="F6" i="1"/>
  <c r="F5" i="1"/>
  <c r="G5" i="1" s="1"/>
  <c r="F4" i="1"/>
  <c r="F3" i="1"/>
  <c r="F2" i="1"/>
  <c r="G57" i="2"/>
  <c r="S56" i="2"/>
  <c r="J56" i="2"/>
  <c r="J52" i="2"/>
  <c r="G3" i="1" l="1"/>
  <c r="K3" i="1" s="1"/>
  <c r="H3" i="1"/>
  <c r="I3" i="1"/>
  <c r="G6" i="1"/>
  <c r="H6" i="1" s="1"/>
  <c r="H5" i="1"/>
  <c r="J5" i="1" s="1"/>
  <c r="I5" i="1"/>
  <c r="J3" i="1"/>
  <c r="G4" i="1"/>
  <c r="H4" i="1"/>
  <c r="I4" i="1"/>
  <c r="G7" i="1"/>
  <c r="H7" i="1" s="1"/>
  <c r="I7" i="1" s="1"/>
  <c r="G2" i="1"/>
  <c r="I2" i="1" s="1"/>
  <c r="H2" i="1"/>
  <c r="J2" i="1" s="1"/>
  <c r="J46" i="2"/>
  <c r="J45" i="2"/>
  <c r="J44" i="2"/>
  <c r="K2" i="1" l="1"/>
  <c r="K5" i="1"/>
  <c r="J7" i="1"/>
  <c r="K7" i="1"/>
  <c r="J4" i="1"/>
  <c r="K4" i="1" s="1"/>
  <c r="I6" i="1"/>
  <c r="J6" i="1" s="1"/>
  <c r="K6" i="1" l="1"/>
</calcChain>
</file>

<file path=xl/sharedStrings.xml><?xml version="1.0" encoding="utf-8"?>
<sst xmlns="http://schemas.openxmlformats.org/spreadsheetml/2006/main" count="164" uniqueCount="100">
  <si>
    <t>Timestamp</t>
  </si>
  <si>
    <t>Email address</t>
  </si>
  <si>
    <t>Surname and Name</t>
  </si>
  <si>
    <t>Matricula</t>
  </si>
  <si>
    <t>1) What is the definition of the Single Event Level SEL?</t>
  </si>
  <si>
    <t>2) What is the definition of the Personal Exposure Level Lep?</t>
  </si>
  <si>
    <t>3) Which methods can be used for measuring the absorption coefficient of a small sample of material, measuring just a few cm per side?</t>
  </si>
  <si>
    <t>4) Which of the following convolution algorithms provide higher performances on a modern computer?</t>
  </si>
  <si>
    <t>5) Compute Leq at the distance of 50+Fm from a road where each hour 500+E*30 cars are passing, each producing a SEL of 80+D dB(A) at the reference distance of 7.5 m.</t>
  </si>
  <si>
    <t>6) Compute Lep for a worker spending his (long) work day as follows: 4h at 75+F dB(A), 2h at 83+E/5 dB(A) and 4h at 79+D/4 dB(A).</t>
  </si>
  <si>
    <t>7) In a reverberant room having a volume of 200 + D*10 m3 the following data are measured: T1 (empty) = 6+F/4 s , T2(sample) = 2+E/5 s. The sample is made of 12 upholstered seats for a concert hall. Compute the equivalent absorption area A of one seat.</t>
  </si>
  <si>
    <t>8) A measurement is performed using the EN 1793-5 method in normal incidence. The microphone has a distance dsm from the source of 1+D/10 m, and a distance dm from the noise barrier of 0.3+E/5 m. The direct sound has an SPL=100 dB, and the reflected sound has an SPL of 80+F dB. Compute the absorption coefficient of the noise barrier.</t>
  </si>
  <si>
    <t>alessio.pedrona@studenti.unipr.it</t>
  </si>
  <si>
    <t>Pedrona Alessio</t>
  </si>
  <si>
    <t>It is the SEL measured during the duration of the work day and rescaled from 1s to 8h</t>
  </si>
  <si>
    <t>ISO 10534 Standing Wave Tube, Sound Intensity method inside a tube</t>
  </si>
  <si>
    <t>71.2 dB(A)</t>
  </si>
  <si>
    <t>84.1 dB(A)</t>
  </si>
  <si>
    <t>0.689 sqm</t>
  </si>
  <si>
    <t>michael.petrolini@studenti.unipr.it</t>
  </si>
  <si>
    <t>Petrolini Michael</t>
  </si>
  <si>
    <t>small-blocks (uniformly partitioning) overlap-and-save using FFT (Anders Torger, BRUTEFIR)</t>
  </si>
  <si>
    <t>70 dB(A)</t>
  </si>
  <si>
    <t>81.4 dB(A)</t>
  </si>
  <si>
    <t>0.621 m2</t>
  </si>
  <si>
    <t>hammam.fathalla@gmail.com</t>
  </si>
  <si>
    <t>Hammam Fathalla</t>
  </si>
  <si>
    <t>It's the A-weighted equivalent level measured during 1s, during which the SPL caused by the vehicle passby is maximum</t>
  </si>
  <si>
    <t>It is the A-weighted equivalent level measured during the duration of the work day and rescaled to a nominal duration of 8h</t>
  </si>
  <si>
    <t>reinhardt.rading@studenti.unipr.it</t>
  </si>
  <si>
    <t>Rading Reinhardt</t>
  </si>
  <si>
    <t>It is the max instantaneous SPL caused by the passage of a vehicle</t>
  </si>
  <si>
    <t>It is the A-weighted equivalent level measured during an 8-h work day</t>
  </si>
  <si>
    <t>64.4 dB(A)</t>
  </si>
  <si>
    <t>jaspreet.pal@studenti.unipr.it</t>
  </si>
  <si>
    <t>Pal Jaspreet</t>
  </si>
  <si>
    <t>66.52 dB(A)</t>
  </si>
  <si>
    <t>81.01 dB(A)</t>
  </si>
  <si>
    <t>0.43 m2</t>
  </si>
  <si>
    <t>abdelwakil.nasrallah@studenti.unipr.it</t>
  </si>
  <si>
    <t>Nasr Allah Abdelwakil</t>
  </si>
  <si>
    <t>hybrid method (Bill Gardner): a first block in direct form for zero-latency, followed by not-uniformly-partitioned blocks (Lake DSP; Dolby)</t>
  </si>
  <si>
    <t>99.67 dB(A)</t>
  </si>
  <si>
    <t>81.27 dB(A)</t>
  </si>
  <si>
    <t>MATRICULA</t>
  </si>
  <si>
    <t>A</t>
  </si>
  <si>
    <t>B</t>
  </si>
  <si>
    <t>C</t>
  </si>
  <si>
    <t>D</t>
  </si>
  <si>
    <t>E</t>
  </si>
  <si>
    <t>F</t>
  </si>
  <si>
    <t>Test 4 - 17/11/2020 - Applied Acoustics</t>
  </si>
  <si>
    <r>
      <t>1)</t>
    </r>
    <r>
      <rPr>
        <b/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What is the definition of the Single Event Level SEL?</t>
    </r>
  </si>
  <si>
    <t>one answer only: 1 point if correct, -1 point if wrong, 0 point if "no answer"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</si>
  <si>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max instantaneous SPL caused by the passage of a vehicle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</si>
  <si>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average SPL during the time of passage of a vehicle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</si>
  <si>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"dose" of acoustical energy associated with the passage of a vehicle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</si>
  <si>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value measured during homologation of a vehicle and written on the document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</si>
  <si>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It's the A-weighted equivalent level measured during 1s, during which the SPL caused by the vehicle passby is maximum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</si>
  <si>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 do not know (no answer)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</si>
  <si>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A-weighted equivalent level measured during an 8-h work day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</si>
  <si>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A-weighted equivalent level measured during the duration of the work day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</si>
  <si>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A-weighted equivalent level measured during the duration of the work day and rescaled to a nominal duration of 8h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</si>
  <si>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SEL measured during the duration of the work day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</si>
  <si>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SEL measured during the duration of the work day and rescaled from 1s to 8h</t>
    </r>
  </si>
  <si>
    <t>multiple answers allowed: for each answer, 1 point if correct, -1 point if wrong, 0 point if "not selected"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</si>
  <si>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ISO 354 in a reverberant room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</si>
  <si>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ISO 10534 Standing Wave Tube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</si>
  <si>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EN 1793-5 Impulsive Method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</si>
  <si>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Sound Intensity method in free field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</si>
  <si>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Sound Intensity method in a reverberant room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</si>
  <si>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Sound Intensity method inside a tube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</si>
  <si>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direct form convolution in time domain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</si>
  <si>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single-large-block (unpartitioned) overlap-and-save using FFT (Oppenheim-Shafer book)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</si>
  <si>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small-blocks (uniformly partitioning) overlap-and-save using FFT (Anders Torger, BRUTEFIR)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</si>
  <si>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variable-blocks (not-uniformly partitioned) overlap-and-save using FFT (Fons Adriaensen, J-conv, MCFX))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</si>
  <si>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hybrid method (Barry Kulp): a first block in direct form for zero-latency, followed by uniformly-partitioned blocks (Zoran DSP)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</si>
  <si>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hybrid method (Bill Gardner): a first block in direct form for zero-latency, followed by not-uniformly-partitioned blocks (Lake DSP; Dolby)</t>
    </r>
  </si>
  <si>
    <t>write number and measurement unit</t>
  </si>
  <si>
    <t>SEL(7.5m) = SEL + 10*log10(N) =</t>
  </si>
  <si>
    <t>dB(A)</t>
  </si>
  <si>
    <t>Leq(7.5m) = SEL(7.5m)-10*log10(3600) =</t>
  </si>
  <si>
    <t>Leq(d)=  Leq(7.5m) +10*log10(7.5/d) =</t>
  </si>
  <si>
    <t>Lep = 10*log10((T1*10^(L1/10)+T2*10^(L2/10)+T3*10^(L3/10))/8) =</t>
  </si>
  <si>
    <t>A = 0.16*V/N*(1/Ts-1/Te) =</t>
  </si>
  <si>
    <t>m2</t>
  </si>
  <si>
    <r>
      <t xml:space="preserve">7) </t>
    </r>
    <r>
      <rPr>
        <b/>
        <sz val="10"/>
        <color rgb="FF202124"/>
        <rFont val="Arial"/>
        <family val="2"/>
      </rPr>
      <t>In a reverberant room having a volume of 200 + D*10 m3 the following data are measured: T1 (empty) = 6+F/4 s , T2(sample) = 2+E/5 s. The sample is made of 12 upholstered seats for a concert hall. Compute the equivalent absorption area A of one seat.</t>
    </r>
  </si>
  <si>
    <t>dB</t>
  </si>
  <si>
    <t>Ldir = Lw-11-20*log10(dsm) =</t>
  </si>
  <si>
    <t>Lref = Lw-11-20*log10(dsm+2*dm)+10*log10(1-alpha) =</t>
  </si>
  <si>
    <t>=&gt; Lw = Ldir+11+20*log10(dsm)</t>
  </si>
  <si>
    <t>=&gt; DLr = 10*log10(1-alpha) = Lref -Ldir +20*log10((dsm+2*dm)/dsm) =</t>
  </si>
  <si>
    <t>Alfa = 1-10^(DLr/10) =</t>
  </si>
  <si>
    <t>N.</t>
  </si>
  <si>
    <t>Score</t>
  </si>
  <si>
    <t>It is the dose of acoustical energy associated with the passage of a vehicle</t>
  </si>
  <si>
    <t>Correct Answer</t>
  </si>
  <si>
    <t>Correct Unit</t>
  </si>
  <si>
    <t>82.10 dB(A)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</si>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</sst>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0.000"/>
  </numFmts>
  <fonts count="15" x14ac:knownFonts="1"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i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rgb="FF2021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/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indent="4"/>
    </xf>
    <xf numFmtId="0" fontId="0" fillId="2" borderId="0" xfId="0" applyFont="1" applyFill="1" applyAlignment="1"/>
    <xf numFmtId="0" fontId="9" fillId="0" borderId="0" xfId="0" applyFont="1" applyAlignment="1"/>
    <xf numFmtId="165" fontId="2" fillId="0" borderId="8" xfId="0" applyNumberFormat="1" applyFont="1" applyBorder="1" applyAlignment="1"/>
    <xf numFmtId="0" fontId="2" fillId="0" borderId="9" xfId="0" applyFont="1" applyBorder="1" applyAlignment="1"/>
    <xf numFmtId="166" fontId="2" fillId="0" borderId="8" xfId="0" applyNumberFormat="1" applyFont="1" applyBorder="1" applyAlignment="1"/>
    <xf numFmtId="0" fontId="9" fillId="0" borderId="0" xfId="0" quotePrefix="1" applyFont="1" applyAlignment="1"/>
    <xf numFmtId="166" fontId="2" fillId="0" borderId="7" xfId="0" applyNumberFormat="1" applyFont="1" applyBorder="1" applyAlignment="1"/>
    <xf numFmtId="0" fontId="12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/>
    </xf>
    <xf numFmtId="0" fontId="13" fillId="0" borderId="11" xfId="0" applyFont="1" applyBorder="1"/>
    <xf numFmtId="0" fontId="12" fillId="3" borderId="10" xfId="0" applyFont="1" applyFill="1" applyBorder="1" applyAlignment="1">
      <alignment horizontal="left" vertical="center" wrapText="1"/>
    </xf>
    <xf numFmtId="166" fontId="14" fillId="0" borderId="11" xfId="0" applyNumberFormat="1" applyFont="1" applyBorder="1" applyAlignment="1">
      <alignment horizontal="center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0" fillId="0" borderId="11" xfId="0" applyFont="1" applyBorder="1" applyAlignment="1"/>
    <xf numFmtId="0" fontId="13" fillId="4" borderId="16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0" fontId="13" fillId="0" borderId="12" xfId="0" applyFont="1" applyBorder="1"/>
    <xf numFmtId="0" fontId="0" fillId="0" borderId="12" xfId="0" applyFont="1" applyBorder="1" applyAlignment="1"/>
    <xf numFmtId="166" fontId="14" fillId="0" borderId="12" xfId="0" applyNumberFormat="1" applyFont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42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8"/>
  <sheetViews>
    <sheetView tabSelected="1" zoomScale="96" zoomScaleNormal="96" zoomScaleSheetLayoutView="169" workbookViewId="0">
      <pane ySplit="1" topLeftCell="A2" activePane="bottomLeft" state="frozen"/>
      <selection pane="bottomLeft" activeCell="C1" sqref="C1:E7"/>
    </sheetView>
  </sheetViews>
  <sheetFormatPr defaultColWidth="14.3984375" defaultRowHeight="15.75" customHeight="1" x14ac:dyDescent="0.35"/>
  <cols>
    <col min="1" max="1" width="3.265625" customWidth="1"/>
    <col min="2" max="2" width="18.33203125" customWidth="1"/>
    <col min="3" max="4" width="21.53125" customWidth="1"/>
    <col min="5" max="5" width="9.6640625" customWidth="1"/>
    <col min="6" max="11" width="2.59765625" customWidth="1"/>
    <col min="12" max="12" width="21.53125" customWidth="1"/>
    <col min="13" max="13" width="7.53125" customWidth="1"/>
    <col min="14" max="14" width="21.53125" customWidth="1"/>
    <col min="15" max="15" width="7.3984375" customWidth="1"/>
    <col min="16" max="16" width="21.53125" customWidth="1"/>
    <col min="17" max="22" width="2.796875" customWidth="1"/>
    <col min="23" max="23" width="21.53125" customWidth="1"/>
    <col min="24" max="29" width="3.06640625" customWidth="1"/>
    <col min="30" max="30" width="25.59765625" customWidth="1"/>
    <col min="31" max="31" width="8.19921875" customWidth="1"/>
    <col min="32" max="32" width="7.53125" customWidth="1"/>
    <col min="33" max="33" width="6.33203125" customWidth="1"/>
    <col min="34" max="34" width="21.53125" customWidth="1"/>
    <col min="35" max="35" width="9.796875" customWidth="1"/>
    <col min="36" max="36" width="7.86328125" customWidth="1"/>
    <col min="37" max="37" width="5.86328125" customWidth="1"/>
    <col min="38" max="38" width="32.06640625" customWidth="1"/>
    <col min="39" max="39" width="7.6640625" customWidth="1"/>
    <col min="40" max="40" width="7.33203125" customWidth="1"/>
    <col min="41" max="41" width="6.6640625" customWidth="1"/>
    <col min="42" max="42" width="41.33203125" customWidth="1"/>
    <col min="43" max="44" width="7.46484375" customWidth="1"/>
    <col min="45" max="45" width="7.33203125" customWidth="1"/>
    <col min="46" max="46" width="8.06640625" customWidth="1"/>
    <col min="47" max="48" width="21.53125" customWidth="1"/>
  </cols>
  <sheetData>
    <row r="1" spans="1:46" ht="114" customHeight="1" thickTop="1" x14ac:dyDescent="0.35">
      <c r="A1" s="31" t="s">
        <v>93</v>
      </c>
      <c r="B1" s="29" t="s">
        <v>0</v>
      </c>
      <c r="C1" s="29" t="s">
        <v>1</v>
      </c>
      <c r="D1" s="29" t="s">
        <v>2</v>
      </c>
      <c r="E1" s="29" t="s">
        <v>3</v>
      </c>
      <c r="F1" s="21" t="s">
        <v>45</v>
      </c>
      <c r="G1" s="21" t="s">
        <v>46</v>
      </c>
      <c r="H1" s="21" t="s">
        <v>47</v>
      </c>
      <c r="I1" s="21" t="s">
        <v>48</v>
      </c>
      <c r="J1" s="21" t="s">
        <v>49</v>
      </c>
      <c r="K1" s="21" t="s">
        <v>50</v>
      </c>
      <c r="L1" s="29" t="s">
        <v>4</v>
      </c>
      <c r="M1" s="21" t="s">
        <v>94</v>
      </c>
      <c r="N1" s="29" t="s">
        <v>5</v>
      </c>
      <c r="O1" s="21" t="s">
        <v>94</v>
      </c>
      <c r="P1" s="29" t="s">
        <v>6</v>
      </c>
      <c r="Q1" s="26">
        <v>-1</v>
      </c>
      <c r="R1" s="26">
        <v>1</v>
      </c>
      <c r="S1" s="26">
        <v>-1</v>
      </c>
      <c r="T1" s="26">
        <v>-1</v>
      </c>
      <c r="U1" s="26">
        <v>-1</v>
      </c>
      <c r="V1" s="26">
        <v>1</v>
      </c>
      <c r="W1" s="29" t="s">
        <v>7</v>
      </c>
      <c r="X1" s="26">
        <v>-1</v>
      </c>
      <c r="Y1" s="26">
        <v>-1</v>
      </c>
      <c r="Z1" s="26">
        <v>1</v>
      </c>
      <c r="AA1" s="26">
        <v>1</v>
      </c>
      <c r="AB1" s="26">
        <v>-1</v>
      </c>
      <c r="AC1" s="26">
        <v>-1</v>
      </c>
      <c r="AD1" s="29" t="s">
        <v>8</v>
      </c>
      <c r="AE1" s="21" t="s">
        <v>96</v>
      </c>
      <c r="AF1" s="21" t="s">
        <v>97</v>
      </c>
      <c r="AG1" s="21" t="s">
        <v>94</v>
      </c>
      <c r="AH1" s="29" t="s">
        <v>9</v>
      </c>
      <c r="AI1" s="21" t="s">
        <v>96</v>
      </c>
      <c r="AJ1" s="21" t="s">
        <v>97</v>
      </c>
      <c r="AK1" s="21" t="s">
        <v>94</v>
      </c>
      <c r="AL1" s="29" t="s">
        <v>10</v>
      </c>
      <c r="AM1" s="21" t="s">
        <v>96</v>
      </c>
      <c r="AN1" s="21" t="s">
        <v>97</v>
      </c>
      <c r="AO1" s="21" t="s">
        <v>94</v>
      </c>
      <c r="AP1" s="29" t="s">
        <v>11</v>
      </c>
      <c r="AQ1" s="21" t="s">
        <v>96</v>
      </c>
      <c r="AR1" s="21" t="s">
        <v>97</v>
      </c>
      <c r="AS1" s="32" t="s">
        <v>94</v>
      </c>
      <c r="AT1" s="32" t="s">
        <v>99</v>
      </c>
    </row>
    <row r="2" spans="1:46" ht="13.15" x14ac:dyDescent="0.4">
      <c r="A2" s="33">
        <v>1</v>
      </c>
      <c r="B2" s="34">
        <v>44152.4159315625</v>
      </c>
      <c r="C2" s="35" t="s">
        <v>12</v>
      </c>
      <c r="D2" s="35" t="s">
        <v>13</v>
      </c>
      <c r="E2" s="36">
        <v>313789</v>
      </c>
      <c r="F2" s="22">
        <f t="shared" ref="F2:F7" si="0">INT(E2/100000)</f>
        <v>3</v>
      </c>
      <c r="G2" s="22">
        <f t="shared" ref="G2:G7" si="1">INT(($E2-100000*F2)/10000)</f>
        <v>1</v>
      </c>
      <c r="H2" s="22">
        <f t="shared" ref="H2:H7" si="2">INT(($E2-100000*F2-10000*G2)/1000)</f>
        <v>3</v>
      </c>
      <c r="I2" s="22">
        <f t="shared" ref="I2:I7" si="3">INT(($E2-100000*$F2-10000*$G2-1000*$H2)/100)</f>
        <v>7</v>
      </c>
      <c r="J2" s="22">
        <f t="shared" ref="J2:J7" si="4">INT(($E2-100000*$F2-10000*$G2-1000*$H2-100*$I2)/10)</f>
        <v>8</v>
      </c>
      <c r="K2" s="22">
        <f t="shared" ref="K2:K7" si="5">INT(($E2-100000*$F2-10000*$G2-1000*$H2-100*$I2-10*$J2))</f>
        <v>9</v>
      </c>
      <c r="L2" s="35" t="s">
        <v>95</v>
      </c>
      <c r="M2" s="24">
        <f>IF(L2="It is the dose of acoustical energy associated with the passage of a vehicle",1,IF(L2="",0,-1))</f>
        <v>1</v>
      </c>
      <c r="N2" s="35" t="s">
        <v>14</v>
      </c>
      <c r="O2" s="24">
        <f>IF(N2="It is the SEL measured during the duration of the work day and rescaled from 1s to 8h",1,IF(N2="",0,-1))</f>
        <v>1</v>
      </c>
      <c r="P2" s="35" t="s">
        <v>15</v>
      </c>
      <c r="Q2" s="24">
        <f>IF(ISERROR(FIND("ISO 354 in a reverberant room",P2,1)),0,Q$1)</f>
        <v>0</v>
      </c>
      <c r="R2" s="24">
        <f>IF(ISERROR(FIND("ISO 10534 Standing Wave Tube",P2,1)),0,R$1)</f>
        <v>1</v>
      </c>
      <c r="S2" s="24">
        <f>IF(ISERROR(FIND("EN 1793-5 Impulsive Method",P2,1)),0,S$1)</f>
        <v>0</v>
      </c>
      <c r="T2" s="24">
        <f>IF(ISERROR(FIND("Sound Intensity method in free field",P2,1)),0,T$1)</f>
        <v>0</v>
      </c>
      <c r="U2" s="24">
        <f>IF(ISERROR(FIND("Sound Intensity method in a reverberant room",P2,1)),0,U$1)</f>
        <v>0</v>
      </c>
      <c r="V2" s="24">
        <f>IF(ISERROR(FIND("Sound Intensity method inside a tube",P2,1)),0,V$1)</f>
        <v>1</v>
      </c>
      <c r="W2" s="37"/>
      <c r="X2" s="24">
        <f>IF(ISERROR(FIND("direct form convolution in time domain",W2,1)),0,X$1)</f>
        <v>0</v>
      </c>
      <c r="Y2" s="24">
        <f>IF(ISERROR(FIND("single-large-block (unpartitioned) overlap-and-save using FFT (Oppenheim-Shafer book)",W2,1)),0,Y$1)</f>
        <v>0</v>
      </c>
      <c r="Z2" s="24">
        <f>IF(ISERROR(FIND("small-blocks (uniformly partitioning) overlap-and-save using FFT (Anders Torger, BRUTEFIR)",W2,1)),0,Z$1)</f>
        <v>0</v>
      </c>
      <c r="AA2" s="24">
        <f>IF(ISERROR(FIND("variable-blocks (not-uniformly partitioned) overlap-and-save using FFT (Fons Adriaensen, J-conv, MCFX)",W2,1)),0,AA$1)</f>
        <v>0</v>
      </c>
      <c r="AB2" s="24">
        <f>IF(ISERROR(FIND("hybrid method (Barry Kulp): a first block in direct form for zero-latency, followed by uniformly-partitioned blocks (Zoran DSP)",W2,1)),0,AB$1)</f>
        <v>0</v>
      </c>
      <c r="AC2" s="24">
        <f>IF(ISERROR(FIND("hybrid method (Bill Gardner): a first block in direct form for zero-latency, followed by not-uniformly-partitioned blocks (Lake DSP; Dolby)",W2,1)),0,AC$1)</f>
        <v>0</v>
      </c>
      <c r="AD2" s="35" t="s">
        <v>16</v>
      </c>
      <c r="AE2" s="27">
        <f>80+I2+10*LOG10(500+J2*30)-10*LOG10(3600)+10*LOG10(7.5/(50+K2))</f>
        <v>71.171384707132447</v>
      </c>
      <c r="AF2" s="28" t="s">
        <v>80</v>
      </c>
      <c r="AG2" s="24">
        <f>IF(AD2="",0,IF(EXACT(RIGHT(AD2,5),"dB(A)"),IF(ABS(VALUE(LEFT(AD2,FIND(" ",AD2,1)))-AE2)&lt;=0.5,1,-1),-1))</f>
        <v>1</v>
      </c>
      <c r="AH2" s="35" t="s">
        <v>17</v>
      </c>
      <c r="AI2" s="27">
        <f>10*LOG10((4*10^((75+K2)/10)+2*10^((83+J2/5)/10)+4*10^((79+I2/4)/10))/8)</f>
        <v>84.10136231902797</v>
      </c>
      <c r="AJ2" s="28" t="s">
        <v>80</v>
      </c>
      <c r="AK2" s="24">
        <f>IF(AH2="",0,IF(EXACT(RIGHT(AH2,5),"dB(A)"),IF(ABS(VALUE(LEFT(AH2,FIND(" ",AH2,1)))-AI2)&lt;=0.5,1,-1),-1))</f>
        <v>1</v>
      </c>
      <c r="AL2" s="35" t="s">
        <v>18</v>
      </c>
      <c r="AM2" s="30">
        <f>0.16*(200+I2*10)/12*(1/(2+J2/5)-1/(6+K2/4))</f>
        <v>0.56363636363636371</v>
      </c>
      <c r="AN2" s="28" t="s">
        <v>85</v>
      </c>
      <c r="AO2" s="24">
        <f>IF(AL2="",0,IF(EXACT(RIGHT(AL2,2),"m2"),IF(ABS((VALUE(LEFT(AL2,FIND(" ",AL2,1)))-AM2)/AM2)&lt;=0.1,1,-1),-1))</f>
        <v>-1</v>
      </c>
      <c r="AP2" s="35">
        <v>0.1686</v>
      </c>
      <c r="AQ2" s="30">
        <f>1-10^((80+K2-100+20*LOG10((1+I2/10+2*(0.3+J2/5))/(1+I2/10)))/10)</f>
        <v>0.1685664671138577</v>
      </c>
      <c r="AR2" s="28"/>
      <c r="AS2" s="38">
        <f>IF(AP2="",0,IF(ABS((AP2-AQ2)/AQ2)&lt;=0.1,1,-1))</f>
        <v>1</v>
      </c>
      <c r="AT2" s="48">
        <f>M2+O2+SUM(Q2:V2)+SUM(X2:AC2)+AG2+AK2+AO2+AS2</f>
        <v>6</v>
      </c>
    </row>
    <row r="3" spans="1:46" ht="13.15" x14ac:dyDescent="0.4">
      <c r="A3" s="33">
        <v>2</v>
      </c>
      <c r="B3" s="34">
        <v>44152.417381087958</v>
      </c>
      <c r="C3" s="35" t="s">
        <v>19</v>
      </c>
      <c r="D3" s="35" t="s">
        <v>20</v>
      </c>
      <c r="E3" s="36">
        <v>310666</v>
      </c>
      <c r="F3" s="22">
        <f t="shared" si="0"/>
        <v>3</v>
      </c>
      <c r="G3" s="22">
        <f t="shared" si="1"/>
        <v>1</v>
      </c>
      <c r="H3" s="22">
        <f t="shared" si="2"/>
        <v>0</v>
      </c>
      <c r="I3" s="22">
        <f t="shared" si="3"/>
        <v>6</v>
      </c>
      <c r="J3" s="22">
        <f t="shared" si="4"/>
        <v>6</v>
      </c>
      <c r="K3" s="22">
        <f t="shared" si="5"/>
        <v>6</v>
      </c>
      <c r="L3" s="35" t="s">
        <v>95</v>
      </c>
      <c r="M3" s="24">
        <f t="shared" ref="M3:M7" si="6">IF(L3="It is the dose of acoustical energy associated with the passage of a vehicle",1,IF(L3="",0,-1))</f>
        <v>1</v>
      </c>
      <c r="N3" s="35" t="s">
        <v>14</v>
      </c>
      <c r="O3" s="24">
        <f t="shared" ref="O3:O7" si="7">IF(N3="It is the SEL measured during the duration of the work day and rescaled from 1s to 8h",1,IF(N3="",0,-1))</f>
        <v>1</v>
      </c>
      <c r="P3" s="35" t="s">
        <v>15</v>
      </c>
      <c r="Q3" s="24">
        <f t="shared" ref="Q3:Q7" si="8">IF(ISERROR(FIND("ISO 354 in a reverberant room",P3,1)),0,Q$1)</f>
        <v>0</v>
      </c>
      <c r="R3" s="24">
        <f t="shared" ref="R3:R7" si="9">IF(ISERROR(FIND("ISO 10534 Standing Wave Tube",P3,1)),0,R$1)</f>
        <v>1</v>
      </c>
      <c r="S3" s="24">
        <f t="shared" ref="S3:S7" si="10">IF(ISERROR(FIND("EN 1793-5 Impulsive Method",P3,1)),0,S$1)</f>
        <v>0</v>
      </c>
      <c r="T3" s="24">
        <f t="shared" ref="T3:T7" si="11">IF(ISERROR(FIND("Sound Intensity method in free field",P3,1)),0,T$1)</f>
        <v>0</v>
      </c>
      <c r="U3" s="24">
        <f t="shared" ref="U3:U7" si="12">IF(ISERROR(FIND("Sound Intensity method in a reverberant room",P3,1)),0,U$1)</f>
        <v>0</v>
      </c>
      <c r="V3" s="24">
        <f t="shared" ref="V3:V7" si="13">IF(ISERROR(FIND("Sound Intensity method inside a tube",P3,1)),0,V$1)</f>
        <v>1</v>
      </c>
      <c r="W3" s="35" t="s">
        <v>21</v>
      </c>
      <c r="X3" s="24">
        <f t="shared" ref="X3:X7" si="14">IF(ISERROR(FIND("direct form convolution in time domain",W3,1)),0,X$1)</f>
        <v>0</v>
      </c>
      <c r="Y3" s="24">
        <f t="shared" ref="Y3:Y7" si="15">IF(ISERROR(FIND("single-large-block (unpartitioned) overlap-and-save using FFT (Oppenheim-Shafer book)",W3,1)),0,Y$1)</f>
        <v>0</v>
      </c>
      <c r="Z3" s="24">
        <f t="shared" ref="Z3:Z7" si="16">IF(ISERROR(FIND("small-blocks (uniformly partitioning) overlap-and-save using FFT (Anders Torger, BRUTEFIR)",W3,1)),0,Z$1)</f>
        <v>1</v>
      </c>
      <c r="AA3" s="24">
        <f t="shared" ref="AA3:AA7" si="17">IF(ISERROR(FIND("variable-blocks (not-uniformly partitioned) overlap-and-save using FFT (Fons Adriaensen, J-conv, MCFX)",W3,1)),0,AA$1)</f>
        <v>0</v>
      </c>
      <c r="AB3" s="24">
        <f t="shared" ref="AB3:AB7" si="18">IF(ISERROR(FIND("hybrid method (Barry Kulp): a first block in direct form for zero-latency, followed by uniformly-partitioned blocks (Zoran DSP)",W3,1)),0,AB$1)</f>
        <v>0</v>
      </c>
      <c r="AC3" s="24">
        <f t="shared" ref="AC3:AC7" si="19">IF(ISERROR(FIND("hybrid method (Bill Gardner): a first block in direct form for zero-latency, followed by not-uniformly-partitioned blocks (Lake DSP; Dolby)",W3,1)),0,AC$1)</f>
        <v>0</v>
      </c>
      <c r="AD3" s="35" t="s">
        <v>22</v>
      </c>
      <c r="AE3" s="27">
        <f t="shared" ref="AE3:AE7" si="20">80+I3+10*LOG10(500+J3*30)-10*LOG10(3600)+10*LOG10(7.5/(50+K3))</f>
        <v>70.030796483244487</v>
      </c>
      <c r="AF3" s="28" t="s">
        <v>80</v>
      </c>
      <c r="AG3" s="24">
        <f t="shared" ref="AG3:AG7" si="21">IF(AD3="",0,IF(EXACT(RIGHT(AD3,5),"dB(A)"),IF(ABS(VALUE(LEFT(AD3,FIND(" ",AD3,1)))-AE3)&lt;=0.5,1,-1),-1))</f>
        <v>1</v>
      </c>
      <c r="AH3" s="35" t="s">
        <v>23</v>
      </c>
      <c r="AI3" s="27">
        <f t="shared" ref="AI3:AI7" si="22">10*LOG10((4*10^((75+K3)/10)+2*10^((83+J3/5)/10)+4*10^((79+I3/4)/10))/8)</f>
        <v>82.667111158829542</v>
      </c>
      <c r="AJ3" s="28" t="s">
        <v>80</v>
      </c>
      <c r="AK3" s="24">
        <f t="shared" ref="AK3:AK7" si="23">IF(AH3="",0,IF(EXACT(RIGHT(AH3,5),"dB(A)"),IF(ABS(VALUE(LEFT(AH3,FIND(" ",AH3,1)))-AI3)&lt;=0.5,1,-1),-1))</f>
        <v>-1</v>
      </c>
      <c r="AL3" s="35" t="s">
        <v>24</v>
      </c>
      <c r="AM3" s="30">
        <f t="shared" ref="AM3:AM7" si="24">0.16*(200+I3*10)/12*(1/(2+J3/5)-1/(6+K3/4))</f>
        <v>0.62111111111111117</v>
      </c>
      <c r="AN3" s="28" t="s">
        <v>85</v>
      </c>
      <c r="AO3" s="24">
        <f t="shared" ref="AO3:AO7" si="25">IF(AL3="",0,IF(EXACT(RIGHT(AL3,2),"m2"),IF(ABS((VALUE(LEFT(AL3,FIND(" ",AL3,1)))-AM3)/AM3)&lt;=0.1,1,-1),-1))</f>
        <v>1</v>
      </c>
      <c r="AP3" s="37"/>
      <c r="AQ3" s="30">
        <f t="shared" ref="AQ3:AQ7" si="26">1-10^((80+K3-100+20*LOG10((1+I3/10+2*(0.3+J3/5))/(1+I3/10)))/10)</f>
        <v>0.6709395418393751</v>
      </c>
      <c r="AR3" s="28"/>
      <c r="AS3" s="38">
        <f t="shared" ref="AS3:AS7" si="27">IF(AP3="",0,IF(ABS((AP3-AQ3)/AQ3)&lt;=0.1,1,-1))</f>
        <v>0</v>
      </c>
      <c r="AT3" s="48">
        <f t="shared" ref="AT3:AT7" si="28">M3+O3+SUM(Q3:V3)+SUM(X3:AC3)+AG3+AK3+AO3+AS3</f>
        <v>6</v>
      </c>
    </row>
    <row r="4" spans="1:46" ht="13.15" x14ac:dyDescent="0.4">
      <c r="A4" s="33">
        <v>3</v>
      </c>
      <c r="B4" s="34">
        <v>44152.4184441088</v>
      </c>
      <c r="C4" s="35" t="s">
        <v>25</v>
      </c>
      <c r="D4" s="35" t="s">
        <v>26</v>
      </c>
      <c r="E4" s="36">
        <v>120193</v>
      </c>
      <c r="F4" s="22">
        <f t="shared" si="0"/>
        <v>1</v>
      </c>
      <c r="G4" s="22">
        <f t="shared" si="1"/>
        <v>2</v>
      </c>
      <c r="H4" s="22">
        <f t="shared" si="2"/>
        <v>0</v>
      </c>
      <c r="I4" s="22">
        <f t="shared" si="3"/>
        <v>1</v>
      </c>
      <c r="J4" s="22">
        <f t="shared" si="4"/>
        <v>9</v>
      </c>
      <c r="K4" s="22">
        <f t="shared" si="5"/>
        <v>3</v>
      </c>
      <c r="L4" s="35" t="s">
        <v>27</v>
      </c>
      <c r="M4" s="24">
        <f t="shared" si="6"/>
        <v>-1</v>
      </c>
      <c r="N4" s="35" t="s">
        <v>28</v>
      </c>
      <c r="O4" s="24">
        <f>IF(N4="It is the A-weighted equivalent level measured during the duration of the work day and rescaled to a nominal duration of 8h",1,IF(N4="",0,-1))</f>
        <v>1</v>
      </c>
      <c r="P4" s="35" t="s">
        <v>15</v>
      </c>
      <c r="Q4" s="24">
        <f t="shared" si="8"/>
        <v>0</v>
      </c>
      <c r="R4" s="24">
        <f t="shared" si="9"/>
        <v>1</v>
      </c>
      <c r="S4" s="24">
        <f t="shared" si="10"/>
        <v>0</v>
      </c>
      <c r="T4" s="24">
        <f t="shared" si="11"/>
        <v>0</v>
      </c>
      <c r="U4" s="24">
        <f t="shared" si="12"/>
        <v>0</v>
      </c>
      <c r="V4" s="24">
        <f t="shared" si="13"/>
        <v>1</v>
      </c>
      <c r="W4" s="37"/>
      <c r="X4" s="24">
        <f t="shared" si="14"/>
        <v>0</v>
      </c>
      <c r="Y4" s="24">
        <f t="shared" si="15"/>
        <v>0</v>
      </c>
      <c r="Z4" s="24">
        <f t="shared" si="16"/>
        <v>0</v>
      </c>
      <c r="AA4" s="24">
        <f t="shared" si="17"/>
        <v>0</v>
      </c>
      <c r="AB4" s="24">
        <f t="shared" si="18"/>
        <v>0</v>
      </c>
      <c r="AC4" s="24">
        <f t="shared" si="19"/>
        <v>0</v>
      </c>
      <c r="AD4" s="35">
        <v>106</v>
      </c>
      <c r="AE4" s="27">
        <f t="shared" si="20"/>
        <v>65.809736181961043</v>
      </c>
      <c r="AF4" s="28" t="s">
        <v>80</v>
      </c>
      <c r="AG4" s="24">
        <f t="shared" si="21"/>
        <v>-1</v>
      </c>
      <c r="AH4" s="35">
        <v>86</v>
      </c>
      <c r="AI4" s="27">
        <f t="shared" si="22"/>
        <v>81.735254607392264</v>
      </c>
      <c r="AJ4" s="28" t="s">
        <v>80</v>
      </c>
      <c r="AK4" s="24">
        <f t="shared" si="23"/>
        <v>-1</v>
      </c>
      <c r="AL4" s="35">
        <v>351</v>
      </c>
      <c r="AM4" s="30">
        <f t="shared" si="24"/>
        <v>0.32202729044834311</v>
      </c>
      <c r="AN4" s="28" t="s">
        <v>85</v>
      </c>
      <c r="AO4" s="24">
        <f t="shared" si="25"/>
        <v>-1</v>
      </c>
      <c r="AP4" s="35">
        <v>88</v>
      </c>
      <c r="AQ4" s="30">
        <f t="shared" si="26"/>
        <v>0.53680232704565434</v>
      </c>
      <c r="AR4" s="28"/>
      <c r="AS4" s="38">
        <f t="shared" si="27"/>
        <v>-1</v>
      </c>
      <c r="AT4" s="48">
        <f t="shared" si="28"/>
        <v>-2</v>
      </c>
    </row>
    <row r="5" spans="1:46" ht="13.15" x14ac:dyDescent="0.4">
      <c r="A5" s="33">
        <v>4</v>
      </c>
      <c r="B5" s="34">
        <v>44152.419534421293</v>
      </c>
      <c r="C5" s="35" t="s">
        <v>29</v>
      </c>
      <c r="D5" s="35" t="s">
        <v>30</v>
      </c>
      <c r="E5" s="36">
        <v>301136</v>
      </c>
      <c r="F5" s="22">
        <f t="shared" si="0"/>
        <v>3</v>
      </c>
      <c r="G5" s="22">
        <f t="shared" si="1"/>
        <v>0</v>
      </c>
      <c r="H5" s="22">
        <f t="shared" si="2"/>
        <v>1</v>
      </c>
      <c r="I5" s="22">
        <f t="shared" si="3"/>
        <v>1</v>
      </c>
      <c r="J5" s="22">
        <f t="shared" si="4"/>
        <v>3</v>
      </c>
      <c r="K5" s="22">
        <f t="shared" si="5"/>
        <v>6</v>
      </c>
      <c r="L5" s="35" t="s">
        <v>31</v>
      </c>
      <c r="M5" s="24">
        <f t="shared" si="6"/>
        <v>-1</v>
      </c>
      <c r="N5" s="35" t="s">
        <v>32</v>
      </c>
      <c r="O5" s="24">
        <f>IF(N5="It is the A-weighted equivalent level measured during the duration of the work day and rescaled to a nominal duration of 8h",1,IF(N5="",0,-1))</f>
        <v>-1</v>
      </c>
      <c r="P5" s="35" t="s">
        <v>15</v>
      </c>
      <c r="Q5" s="24">
        <f t="shared" si="8"/>
        <v>0</v>
      </c>
      <c r="R5" s="24">
        <f t="shared" si="9"/>
        <v>1</v>
      </c>
      <c r="S5" s="24">
        <f t="shared" si="10"/>
        <v>0</v>
      </c>
      <c r="T5" s="24">
        <f t="shared" si="11"/>
        <v>0</v>
      </c>
      <c r="U5" s="24">
        <f t="shared" si="12"/>
        <v>0</v>
      </c>
      <c r="V5" s="24">
        <f t="shared" si="13"/>
        <v>1</v>
      </c>
      <c r="W5" s="35" t="s">
        <v>21</v>
      </c>
      <c r="X5" s="24">
        <f t="shared" si="14"/>
        <v>0</v>
      </c>
      <c r="Y5" s="24">
        <f t="shared" si="15"/>
        <v>0</v>
      </c>
      <c r="Z5" s="24">
        <f t="shared" si="16"/>
        <v>1</v>
      </c>
      <c r="AA5" s="24">
        <f t="shared" si="17"/>
        <v>0</v>
      </c>
      <c r="AB5" s="24">
        <f t="shared" si="18"/>
        <v>0</v>
      </c>
      <c r="AC5" s="24">
        <f t="shared" si="19"/>
        <v>0</v>
      </c>
      <c r="AD5" s="35" t="s">
        <v>33</v>
      </c>
      <c r="AE5" s="27">
        <f t="shared" si="20"/>
        <v>64.414227472603571</v>
      </c>
      <c r="AF5" s="28" t="s">
        <v>80</v>
      </c>
      <c r="AG5" s="24">
        <f t="shared" si="21"/>
        <v>1</v>
      </c>
      <c r="AH5" s="35" t="s">
        <v>98</v>
      </c>
      <c r="AI5" s="27">
        <f t="shared" si="22"/>
        <v>82.102856561406341</v>
      </c>
      <c r="AJ5" s="28" t="s">
        <v>80</v>
      </c>
      <c r="AK5" s="24">
        <f t="shared" si="23"/>
        <v>1</v>
      </c>
      <c r="AL5" s="37"/>
      <c r="AM5" s="30">
        <f t="shared" si="24"/>
        <v>0.70358974358974369</v>
      </c>
      <c r="AN5" s="28" t="s">
        <v>85</v>
      </c>
      <c r="AO5" s="24">
        <f t="shared" si="25"/>
        <v>0</v>
      </c>
      <c r="AP5" s="37"/>
      <c r="AQ5" s="30">
        <f t="shared" si="26"/>
        <v>0.72329906575579239</v>
      </c>
      <c r="AR5" s="28"/>
      <c r="AS5" s="38">
        <f t="shared" si="27"/>
        <v>0</v>
      </c>
      <c r="AT5" s="48">
        <f t="shared" si="28"/>
        <v>3</v>
      </c>
    </row>
    <row r="6" spans="1:46" ht="13.15" x14ac:dyDescent="0.4">
      <c r="A6" s="33">
        <v>5</v>
      </c>
      <c r="B6" s="34">
        <v>44152.42149231481</v>
      </c>
      <c r="C6" s="35" t="s">
        <v>34</v>
      </c>
      <c r="D6" s="35" t="s">
        <v>35</v>
      </c>
      <c r="E6" s="36">
        <v>324260</v>
      </c>
      <c r="F6" s="22">
        <f t="shared" si="0"/>
        <v>3</v>
      </c>
      <c r="G6" s="22">
        <f t="shared" si="1"/>
        <v>2</v>
      </c>
      <c r="H6" s="22">
        <f t="shared" si="2"/>
        <v>4</v>
      </c>
      <c r="I6" s="22">
        <f t="shared" si="3"/>
        <v>2</v>
      </c>
      <c r="J6" s="22">
        <f t="shared" si="4"/>
        <v>6</v>
      </c>
      <c r="K6" s="22">
        <f t="shared" si="5"/>
        <v>0</v>
      </c>
      <c r="L6" s="35" t="s">
        <v>95</v>
      </c>
      <c r="M6" s="24">
        <f t="shared" si="6"/>
        <v>1</v>
      </c>
      <c r="N6" s="35" t="s">
        <v>14</v>
      </c>
      <c r="O6" s="24">
        <f t="shared" si="7"/>
        <v>1</v>
      </c>
      <c r="P6" s="35" t="s">
        <v>15</v>
      </c>
      <c r="Q6" s="24">
        <f t="shared" si="8"/>
        <v>0</v>
      </c>
      <c r="R6" s="24">
        <f t="shared" si="9"/>
        <v>1</v>
      </c>
      <c r="S6" s="24">
        <f t="shared" si="10"/>
        <v>0</v>
      </c>
      <c r="T6" s="24">
        <f t="shared" si="11"/>
        <v>0</v>
      </c>
      <c r="U6" s="24">
        <f t="shared" si="12"/>
        <v>0</v>
      </c>
      <c r="V6" s="24">
        <f t="shared" si="13"/>
        <v>1</v>
      </c>
      <c r="W6" s="37"/>
      <c r="X6" s="24">
        <f t="shared" si="14"/>
        <v>0</v>
      </c>
      <c r="Y6" s="24">
        <f t="shared" si="15"/>
        <v>0</v>
      </c>
      <c r="Z6" s="24">
        <f t="shared" si="16"/>
        <v>0</v>
      </c>
      <c r="AA6" s="24">
        <f t="shared" si="17"/>
        <v>0</v>
      </c>
      <c r="AB6" s="24">
        <f t="shared" si="18"/>
        <v>0</v>
      </c>
      <c r="AC6" s="24">
        <f t="shared" si="19"/>
        <v>0</v>
      </c>
      <c r="AD6" s="35" t="s">
        <v>36</v>
      </c>
      <c r="AE6" s="27">
        <f t="shared" si="20"/>
        <v>66.522976709946306</v>
      </c>
      <c r="AF6" s="28" t="s">
        <v>80</v>
      </c>
      <c r="AG6" s="24">
        <f t="shared" si="21"/>
        <v>1</v>
      </c>
      <c r="AH6" s="35" t="s">
        <v>37</v>
      </c>
      <c r="AI6" s="27">
        <f t="shared" si="22"/>
        <v>81.008205821934084</v>
      </c>
      <c r="AJ6" s="28" t="s">
        <v>80</v>
      </c>
      <c r="AK6" s="24">
        <f t="shared" si="23"/>
        <v>1</v>
      </c>
      <c r="AL6" s="35" t="s">
        <v>38</v>
      </c>
      <c r="AM6" s="30">
        <f t="shared" si="24"/>
        <v>0.42777777777777781</v>
      </c>
      <c r="AN6" s="28" t="s">
        <v>85</v>
      </c>
      <c r="AO6" s="24">
        <f t="shared" si="25"/>
        <v>1</v>
      </c>
      <c r="AP6" s="35">
        <v>0.88</v>
      </c>
      <c r="AQ6" s="30">
        <f t="shared" si="26"/>
        <v>0.87749999999999995</v>
      </c>
      <c r="AR6" s="28"/>
      <c r="AS6" s="38">
        <f t="shared" si="27"/>
        <v>1</v>
      </c>
      <c r="AT6" s="48">
        <f t="shared" si="28"/>
        <v>8</v>
      </c>
    </row>
    <row r="7" spans="1:46" ht="13.5" thickBot="1" x14ac:dyDescent="0.45">
      <c r="A7" s="39">
        <v>6</v>
      </c>
      <c r="B7" s="40">
        <v>44152.422253206023</v>
      </c>
      <c r="C7" s="41" t="s">
        <v>39</v>
      </c>
      <c r="D7" s="41" t="s">
        <v>40</v>
      </c>
      <c r="E7" s="42">
        <v>324114</v>
      </c>
      <c r="F7" s="23">
        <f t="shared" si="0"/>
        <v>3</v>
      </c>
      <c r="G7" s="23">
        <f t="shared" si="1"/>
        <v>2</v>
      </c>
      <c r="H7" s="23">
        <f t="shared" si="2"/>
        <v>4</v>
      </c>
      <c r="I7" s="23">
        <f t="shared" si="3"/>
        <v>1</v>
      </c>
      <c r="J7" s="23">
        <f t="shared" si="4"/>
        <v>1</v>
      </c>
      <c r="K7" s="23">
        <f t="shared" si="5"/>
        <v>4</v>
      </c>
      <c r="L7" s="41" t="s">
        <v>95</v>
      </c>
      <c r="M7" s="25">
        <f t="shared" si="6"/>
        <v>1</v>
      </c>
      <c r="N7" s="41" t="s">
        <v>14</v>
      </c>
      <c r="O7" s="25">
        <f t="shared" si="7"/>
        <v>1</v>
      </c>
      <c r="P7" s="41" t="s">
        <v>15</v>
      </c>
      <c r="Q7" s="25">
        <f t="shared" si="8"/>
        <v>0</v>
      </c>
      <c r="R7" s="25">
        <f t="shared" si="9"/>
        <v>1</v>
      </c>
      <c r="S7" s="25">
        <f t="shared" si="10"/>
        <v>0</v>
      </c>
      <c r="T7" s="25">
        <f t="shared" si="11"/>
        <v>0</v>
      </c>
      <c r="U7" s="25">
        <f t="shared" si="12"/>
        <v>0</v>
      </c>
      <c r="V7" s="25">
        <f t="shared" si="13"/>
        <v>1</v>
      </c>
      <c r="W7" s="41" t="s">
        <v>41</v>
      </c>
      <c r="X7" s="25">
        <f t="shared" si="14"/>
        <v>0</v>
      </c>
      <c r="Y7" s="25">
        <f t="shared" si="15"/>
        <v>0</v>
      </c>
      <c r="Z7" s="25">
        <f t="shared" si="16"/>
        <v>0</v>
      </c>
      <c r="AA7" s="25">
        <f t="shared" si="17"/>
        <v>0</v>
      </c>
      <c r="AB7" s="25">
        <f t="shared" si="18"/>
        <v>0</v>
      </c>
      <c r="AC7" s="25">
        <f t="shared" si="19"/>
        <v>-1</v>
      </c>
      <c r="AD7" s="41" t="s">
        <v>42</v>
      </c>
      <c r="AE7" s="43">
        <f t="shared" si="20"/>
        <v>64.106408724022316</v>
      </c>
      <c r="AF7" s="44" t="s">
        <v>80</v>
      </c>
      <c r="AG7" s="25">
        <f t="shared" si="21"/>
        <v>-1</v>
      </c>
      <c r="AH7" s="41" t="s">
        <v>43</v>
      </c>
      <c r="AI7" s="43">
        <f t="shared" si="22"/>
        <v>81.271649864038565</v>
      </c>
      <c r="AJ7" s="44" t="s">
        <v>80</v>
      </c>
      <c r="AK7" s="25">
        <f t="shared" si="23"/>
        <v>1</v>
      </c>
      <c r="AL7" s="45"/>
      <c r="AM7" s="46">
        <f t="shared" si="24"/>
        <v>0.8727272727272728</v>
      </c>
      <c r="AN7" s="44" t="s">
        <v>85</v>
      </c>
      <c r="AO7" s="25">
        <f t="shared" si="25"/>
        <v>0</v>
      </c>
      <c r="AP7" s="41">
        <v>0.91</v>
      </c>
      <c r="AQ7" s="46">
        <f t="shared" si="26"/>
        <v>0.90845108129787411</v>
      </c>
      <c r="AR7" s="44"/>
      <c r="AS7" s="47">
        <f t="shared" si="27"/>
        <v>1</v>
      </c>
      <c r="AT7" s="49">
        <f t="shared" si="28"/>
        <v>4</v>
      </c>
    </row>
    <row r="8" spans="1:46" ht="15.75" customHeight="1" thickTop="1" x14ac:dyDescent="0.35"/>
  </sheetData>
  <conditionalFormatting sqref="M2:M7">
    <cfRule type="cellIs" dxfId="41" priority="41" operator="lessThan">
      <formula>0</formula>
    </cfRule>
  </conditionalFormatting>
  <conditionalFormatting sqref="M2:M7">
    <cfRule type="containsText" dxfId="40" priority="42" operator="containsText" text=",">
      <formula>NOT(ISERROR(SEARCH(",",M2)))</formula>
    </cfRule>
  </conditionalFormatting>
  <conditionalFormatting sqref="M2:M7">
    <cfRule type="cellIs" dxfId="39" priority="40" operator="equal">
      <formula>0</formula>
    </cfRule>
  </conditionalFormatting>
  <conditionalFormatting sqref="O2">
    <cfRule type="cellIs" dxfId="38" priority="38" operator="lessThan">
      <formula>0</formula>
    </cfRule>
  </conditionalFormatting>
  <conditionalFormatting sqref="O2">
    <cfRule type="containsText" dxfId="37" priority="39" operator="containsText" text=",">
      <formula>NOT(ISERROR(SEARCH(",",O2)))</formula>
    </cfRule>
  </conditionalFormatting>
  <conditionalFormatting sqref="O2">
    <cfRule type="cellIs" dxfId="36" priority="37" operator="equal">
      <formula>0</formula>
    </cfRule>
  </conditionalFormatting>
  <conditionalFormatting sqref="O3:O7">
    <cfRule type="cellIs" dxfId="35" priority="35" operator="lessThan">
      <formula>0</formula>
    </cfRule>
  </conditionalFormatting>
  <conditionalFormatting sqref="O3:O7">
    <cfRule type="containsText" dxfId="34" priority="36" operator="containsText" text=",">
      <formula>NOT(ISERROR(SEARCH(",",O3)))</formula>
    </cfRule>
  </conditionalFormatting>
  <conditionalFormatting sqref="O3:O7">
    <cfRule type="cellIs" dxfId="33" priority="34" operator="equal">
      <formula>0</formula>
    </cfRule>
  </conditionalFormatting>
  <conditionalFormatting sqref="V2">
    <cfRule type="cellIs" dxfId="32" priority="29" operator="lessThan">
      <formula>0</formula>
    </cfRule>
  </conditionalFormatting>
  <conditionalFormatting sqref="V2">
    <cfRule type="containsText" dxfId="31" priority="30" operator="containsText" text=",">
      <formula>NOT(ISERROR(SEARCH(",",V2)))</formula>
    </cfRule>
  </conditionalFormatting>
  <conditionalFormatting sqref="V2">
    <cfRule type="cellIs" dxfId="30" priority="28" operator="equal">
      <formula>0</formula>
    </cfRule>
  </conditionalFormatting>
  <conditionalFormatting sqref="Q2:U2">
    <cfRule type="cellIs" dxfId="29" priority="32" operator="lessThan">
      <formula>0</formula>
    </cfRule>
  </conditionalFormatting>
  <conditionalFormatting sqref="Q2:U2">
    <cfRule type="containsText" dxfId="28" priority="33" operator="containsText" text=",">
      <formula>NOT(ISERROR(SEARCH(",",Q2)))</formula>
    </cfRule>
  </conditionalFormatting>
  <conditionalFormatting sqref="Q2:U2">
    <cfRule type="cellIs" dxfId="27" priority="31" operator="equal">
      <formula>0</formula>
    </cfRule>
  </conditionalFormatting>
  <conditionalFormatting sqref="V3:V7">
    <cfRule type="cellIs" dxfId="26" priority="23" operator="lessThan">
      <formula>0</formula>
    </cfRule>
  </conditionalFormatting>
  <conditionalFormatting sqref="V3:V7">
    <cfRule type="containsText" dxfId="25" priority="24" operator="containsText" text=",">
      <formula>NOT(ISERROR(SEARCH(",",V3)))</formula>
    </cfRule>
  </conditionalFormatting>
  <conditionalFormatting sqref="V3:V7">
    <cfRule type="cellIs" dxfId="24" priority="22" operator="equal">
      <formula>0</formula>
    </cfRule>
  </conditionalFormatting>
  <conditionalFormatting sqref="Q3:U7">
    <cfRule type="cellIs" dxfId="23" priority="26" operator="lessThan">
      <formula>0</formula>
    </cfRule>
  </conditionalFormatting>
  <conditionalFormatting sqref="Q3:U7">
    <cfRule type="containsText" dxfId="22" priority="27" operator="containsText" text=",">
      <formula>NOT(ISERROR(SEARCH(",",Q3)))</formula>
    </cfRule>
  </conditionalFormatting>
  <conditionalFormatting sqref="Q3:U7">
    <cfRule type="cellIs" dxfId="21" priority="25" operator="equal">
      <formula>0</formula>
    </cfRule>
  </conditionalFormatting>
  <conditionalFormatting sqref="AC2:AC7">
    <cfRule type="cellIs" dxfId="20" priority="17" operator="lessThan">
      <formula>0</formula>
    </cfRule>
  </conditionalFormatting>
  <conditionalFormatting sqref="AC2:AC7">
    <cfRule type="containsText" dxfId="19" priority="18" operator="containsText" text=",">
      <formula>NOT(ISERROR(SEARCH(",",AC2)))</formula>
    </cfRule>
  </conditionalFormatting>
  <conditionalFormatting sqref="AC2:AC7">
    <cfRule type="cellIs" dxfId="18" priority="16" operator="equal">
      <formula>0</formula>
    </cfRule>
  </conditionalFormatting>
  <conditionalFormatting sqref="X2:AB7">
    <cfRule type="cellIs" dxfId="17" priority="20" operator="lessThan">
      <formula>0</formula>
    </cfRule>
  </conditionalFormatting>
  <conditionalFormatting sqref="X2:AB7">
    <cfRule type="containsText" dxfId="16" priority="21" operator="containsText" text=",">
      <formula>NOT(ISERROR(SEARCH(",",X2)))</formula>
    </cfRule>
  </conditionalFormatting>
  <conditionalFormatting sqref="X2:AB7">
    <cfRule type="cellIs" dxfId="15" priority="19" operator="equal">
      <formula>0</formula>
    </cfRule>
  </conditionalFormatting>
  <conditionalFormatting sqref="AG2:AG7">
    <cfRule type="cellIs" dxfId="14" priority="14" operator="lessThan">
      <formula>0</formula>
    </cfRule>
  </conditionalFormatting>
  <conditionalFormatting sqref="AG2:AG7">
    <cfRule type="containsText" dxfId="13" priority="15" operator="containsText" text=",">
      <formula>NOT(ISERROR(SEARCH(",",AG2)))</formula>
    </cfRule>
  </conditionalFormatting>
  <conditionalFormatting sqref="AG2:AG7">
    <cfRule type="cellIs" dxfId="12" priority="13" operator="equal">
      <formula>0</formula>
    </cfRule>
  </conditionalFormatting>
  <conditionalFormatting sqref="AK2:AK7">
    <cfRule type="cellIs" dxfId="11" priority="11" operator="lessThan">
      <formula>0</formula>
    </cfRule>
  </conditionalFormatting>
  <conditionalFormatting sqref="AK2:AK7">
    <cfRule type="containsText" dxfId="10" priority="12" operator="containsText" text=",">
      <formula>NOT(ISERROR(SEARCH(",",AK2)))</formula>
    </cfRule>
  </conditionalFormatting>
  <conditionalFormatting sqref="AK2:AK7">
    <cfRule type="cellIs" dxfId="9" priority="10" operator="equal">
      <formula>0</formula>
    </cfRule>
  </conditionalFormatting>
  <conditionalFormatting sqref="AO2">
    <cfRule type="cellIs" dxfId="8" priority="8" operator="lessThan">
      <formula>0</formula>
    </cfRule>
  </conditionalFormatting>
  <conditionalFormatting sqref="AO2">
    <cfRule type="containsText" dxfId="7" priority="9" operator="containsText" text=",">
      <formula>NOT(ISERROR(SEARCH(",",AO2)))</formula>
    </cfRule>
  </conditionalFormatting>
  <conditionalFormatting sqref="AO2">
    <cfRule type="cellIs" dxfId="6" priority="7" operator="equal">
      <formula>0</formula>
    </cfRule>
  </conditionalFormatting>
  <conditionalFormatting sqref="AO3:AO7">
    <cfRule type="cellIs" dxfId="5" priority="5" operator="lessThan">
      <formula>0</formula>
    </cfRule>
  </conditionalFormatting>
  <conditionalFormatting sqref="AO3:AO7">
    <cfRule type="containsText" dxfId="4" priority="6" operator="containsText" text=",">
      <formula>NOT(ISERROR(SEARCH(",",AO3)))</formula>
    </cfRule>
  </conditionalFormatting>
  <conditionalFormatting sqref="AO3:AO7">
    <cfRule type="cellIs" dxfId="3" priority="4" operator="equal">
      <formula>0</formula>
    </cfRule>
  </conditionalFormatting>
  <conditionalFormatting sqref="AS2:AS7">
    <cfRule type="cellIs" dxfId="2" priority="2" operator="lessThan">
      <formula>0</formula>
    </cfRule>
  </conditionalFormatting>
  <conditionalFormatting sqref="AS2:AS7">
    <cfRule type="containsText" dxfId="1" priority="3" operator="containsText" text=",">
      <formula>NOT(ISERROR(SEARCH(",",AS2)))</formula>
    </cfRule>
  </conditionalFormatting>
  <conditionalFormatting sqref="AS2:AS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2E74-B9CC-4B53-8159-8A498C4056D1}">
  <dimension ref="A1:T58"/>
  <sheetViews>
    <sheetView workbookViewId="0"/>
  </sheetViews>
  <sheetFormatPr defaultRowHeight="12.75" x14ac:dyDescent="0.35"/>
  <sheetData>
    <row r="1" spans="1:12" ht="13.15" x14ac:dyDescent="0.4">
      <c r="A1" s="1" t="s">
        <v>51</v>
      </c>
      <c r="B1" s="2"/>
      <c r="C1" s="2"/>
      <c r="D1" s="2"/>
      <c r="E1" s="2"/>
      <c r="F1" s="2"/>
      <c r="G1" s="2"/>
    </row>
    <row r="2" spans="1:12" x14ac:dyDescent="0.35">
      <c r="A2" s="2"/>
      <c r="B2" s="2"/>
      <c r="C2" s="2"/>
      <c r="D2" s="2"/>
      <c r="E2" s="2"/>
      <c r="F2" s="2"/>
      <c r="G2" s="2"/>
    </row>
    <row r="3" spans="1:12" ht="13.5" thickBot="1" x14ac:dyDescent="0.45">
      <c r="A3" s="1" t="s">
        <v>44</v>
      </c>
      <c r="B3" s="2"/>
      <c r="C3" s="2"/>
      <c r="D3" s="2"/>
      <c r="E3" s="2"/>
      <c r="F3" s="2"/>
      <c r="G3" s="2"/>
    </row>
    <row r="4" spans="1:12" x14ac:dyDescent="0.35">
      <c r="A4" s="3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5" t="s">
        <v>50</v>
      </c>
      <c r="G4" s="2"/>
    </row>
    <row r="5" spans="1:12" ht="13.15" thickBot="1" x14ac:dyDescent="0.4">
      <c r="A5" s="6">
        <v>1</v>
      </c>
      <c r="B5" s="7">
        <v>2</v>
      </c>
      <c r="C5" s="7">
        <v>3</v>
      </c>
      <c r="D5" s="7">
        <v>4</v>
      </c>
      <c r="E5" s="7">
        <v>5</v>
      </c>
      <c r="F5" s="8">
        <v>6</v>
      </c>
      <c r="G5" s="2"/>
    </row>
    <row r="6" spans="1:12" x14ac:dyDescent="0.35">
      <c r="A6" s="2"/>
      <c r="B6" s="2"/>
      <c r="C6" s="2"/>
      <c r="D6" s="2"/>
      <c r="E6" s="2"/>
      <c r="F6" s="2"/>
      <c r="G6" s="2"/>
    </row>
    <row r="7" spans="1:12" ht="14.25" x14ac:dyDescent="0.35">
      <c r="A7" s="9" t="s">
        <v>52</v>
      </c>
    </row>
    <row r="8" spans="1:12" ht="14.25" x14ac:dyDescent="0.35">
      <c r="A8" s="10" t="s">
        <v>53</v>
      </c>
    </row>
    <row r="9" spans="1:12" ht="14.25" x14ac:dyDescent="0.35">
      <c r="A9" s="11" t="s">
        <v>54</v>
      </c>
    </row>
    <row r="10" spans="1:12" ht="14.25" x14ac:dyDescent="0.35">
      <c r="A10" s="11" t="s">
        <v>55</v>
      </c>
    </row>
    <row r="11" spans="1:12" ht="14.25" x14ac:dyDescent="0.35">
      <c r="A11" s="13" t="s">
        <v>56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14.25" x14ac:dyDescent="0.35">
      <c r="A12" s="11" t="s">
        <v>57</v>
      </c>
    </row>
    <row r="13" spans="1:12" ht="14.25" x14ac:dyDescent="0.35">
      <c r="A13" s="11" t="s">
        <v>58</v>
      </c>
    </row>
    <row r="14" spans="1:12" ht="14.25" x14ac:dyDescent="0.35">
      <c r="A14" s="11" t="s">
        <v>59</v>
      </c>
    </row>
    <row r="15" spans="1:12" ht="14.25" x14ac:dyDescent="0.35">
      <c r="A15" s="12"/>
    </row>
    <row r="16" spans="1:12" ht="14.25" x14ac:dyDescent="0.35">
      <c r="A16" s="12" t="s">
        <v>5</v>
      </c>
    </row>
    <row r="17" spans="1:12" ht="14.25" x14ac:dyDescent="0.35">
      <c r="A17" s="10" t="s">
        <v>53</v>
      </c>
    </row>
    <row r="18" spans="1:12" ht="14.25" x14ac:dyDescent="0.35">
      <c r="A18" s="11" t="s">
        <v>60</v>
      </c>
    </row>
    <row r="19" spans="1:12" ht="14.25" x14ac:dyDescent="0.35">
      <c r="A19" s="11" t="s">
        <v>61</v>
      </c>
    </row>
    <row r="20" spans="1:12" ht="14.25" x14ac:dyDescent="0.35">
      <c r="A20" s="13" t="s">
        <v>62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25" x14ac:dyDescent="0.35">
      <c r="A21" s="11" t="s">
        <v>63</v>
      </c>
    </row>
    <row r="22" spans="1:12" ht="14.25" x14ac:dyDescent="0.35">
      <c r="A22" s="13" t="s">
        <v>64</v>
      </c>
      <c r="B22" s="14"/>
      <c r="C22" s="14"/>
      <c r="D22" s="14"/>
      <c r="E22" s="14"/>
      <c r="F22" s="14"/>
      <c r="G22" s="14"/>
      <c r="H22" s="14"/>
      <c r="I22" s="14"/>
    </row>
    <row r="23" spans="1:12" ht="14.25" x14ac:dyDescent="0.35">
      <c r="A23" s="11" t="s">
        <v>59</v>
      </c>
    </row>
    <row r="24" spans="1:12" ht="13.5" x14ac:dyDescent="0.35">
      <c r="A24" s="11"/>
    </row>
    <row r="25" spans="1:12" ht="14.25" x14ac:dyDescent="0.35">
      <c r="A25" s="12" t="s">
        <v>6</v>
      </c>
    </row>
    <row r="26" spans="1:12" ht="14.25" x14ac:dyDescent="0.35">
      <c r="A26" s="10" t="s">
        <v>65</v>
      </c>
    </row>
    <row r="27" spans="1:12" ht="14.25" x14ac:dyDescent="0.35">
      <c r="A27" s="11" t="s">
        <v>66</v>
      </c>
    </row>
    <row r="28" spans="1:12" ht="14.25" x14ac:dyDescent="0.35">
      <c r="A28" s="13" t="s">
        <v>67</v>
      </c>
      <c r="B28" s="14"/>
      <c r="C28" s="14"/>
      <c r="D28" s="14"/>
      <c r="E28" s="14"/>
      <c r="F28" s="14"/>
    </row>
    <row r="29" spans="1:12" ht="14.25" x14ac:dyDescent="0.35">
      <c r="A29" s="11" t="s">
        <v>68</v>
      </c>
    </row>
    <row r="30" spans="1:12" ht="14.25" x14ac:dyDescent="0.35">
      <c r="A30" s="11" t="s">
        <v>69</v>
      </c>
    </row>
    <row r="31" spans="1:12" ht="14.25" x14ac:dyDescent="0.35">
      <c r="A31" s="11" t="s">
        <v>70</v>
      </c>
    </row>
    <row r="32" spans="1:12" ht="14.25" x14ac:dyDescent="0.35">
      <c r="A32" s="13" t="s">
        <v>71</v>
      </c>
      <c r="B32" s="14"/>
      <c r="C32" s="14"/>
      <c r="D32" s="14"/>
      <c r="E32" s="14"/>
      <c r="F32" s="14"/>
    </row>
    <row r="33" spans="1:11" ht="13.5" x14ac:dyDescent="0.35">
      <c r="A33" s="11"/>
    </row>
    <row r="34" spans="1:11" ht="14.25" x14ac:dyDescent="0.35">
      <c r="A34" s="12" t="s">
        <v>7</v>
      </c>
    </row>
    <row r="35" spans="1:11" ht="14.25" x14ac:dyDescent="0.35">
      <c r="A35" s="10" t="s">
        <v>65</v>
      </c>
    </row>
    <row r="36" spans="1:11" ht="14.25" x14ac:dyDescent="0.35">
      <c r="A36" s="11" t="s">
        <v>72</v>
      </c>
    </row>
    <row r="37" spans="1:11" ht="14.25" x14ac:dyDescent="0.35">
      <c r="A37" s="11" t="s">
        <v>73</v>
      </c>
    </row>
    <row r="38" spans="1:11" ht="14.25" x14ac:dyDescent="0.35">
      <c r="A38" s="13" t="s">
        <v>74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4.25" x14ac:dyDescent="0.35">
      <c r="A39" s="13" t="s">
        <v>75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4.25" x14ac:dyDescent="0.35">
      <c r="A40" s="11" t="s">
        <v>76</v>
      </c>
    </row>
    <row r="41" spans="1:11" ht="14.25" x14ac:dyDescent="0.35">
      <c r="A41" s="11" t="s">
        <v>77</v>
      </c>
    </row>
    <row r="42" spans="1:11" ht="13.5" x14ac:dyDescent="0.35">
      <c r="A42" s="11"/>
    </row>
    <row r="43" spans="1:11" ht="14.25" x14ac:dyDescent="0.35">
      <c r="A43" s="12" t="s">
        <v>8</v>
      </c>
    </row>
    <row r="44" spans="1:11" ht="14.25" x14ac:dyDescent="0.35">
      <c r="A44" s="10" t="s">
        <v>78</v>
      </c>
      <c r="F44" s="15" t="s">
        <v>79</v>
      </c>
      <c r="J44">
        <f>80+D5+10*LOG10(500+E5*30)</f>
        <v>112.12913356642855</v>
      </c>
      <c r="K44" s="15" t="s">
        <v>80</v>
      </c>
    </row>
    <row r="45" spans="1:11" ht="14.65" thickBot="1" x14ac:dyDescent="0.4">
      <c r="A45" s="10"/>
      <c r="F45" s="15" t="s">
        <v>81</v>
      </c>
      <c r="J45">
        <f>J44-10*LOG10(3600)</f>
        <v>76.566108558755673</v>
      </c>
      <c r="K45" s="15" t="s">
        <v>80</v>
      </c>
    </row>
    <row r="46" spans="1:11" ht="15" thickTop="1" thickBot="1" x14ac:dyDescent="0.45">
      <c r="A46" s="10"/>
      <c r="F46" s="15" t="s">
        <v>82</v>
      </c>
      <c r="J46" s="16">
        <f>J45+10*LOG10(7.5/(50+F5))</f>
        <v>67.834840922610667</v>
      </c>
      <c r="K46" s="17" t="s">
        <v>80</v>
      </c>
    </row>
    <row r="47" spans="1:11" ht="14.65" thickTop="1" x14ac:dyDescent="0.35">
      <c r="A47" s="10"/>
    </row>
    <row r="48" spans="1:11" ht="14.65" thickBot="1" x14ac:dyDescent="0.4">
      <c r="A48" s="12" t="s">
        <v>9</v>
      </c>
    </row>
    <row r="49" spans="1:20" ht="15" thickTop="1" thickBot="1" x14ac:dyDescent="0.45">
      <c r="A49" s="10" t="s">
        <v>78</v>
      </c>
      <c r="F49" s="15" t="s">
        <v>83</v>
      </c>
      <c r="L49" s="16">
        <f>10*LOG10((4*10^((75+F5)/10)+2*10^((83+E5/5)/10)+4*10^((79+D5/4)/10))/8)</f>
        <v>82.448791017155372</v>
      </c>
      <c r="M49" s="17" t="s">
        <v>80</v>
      </c>
    </row>
    <row r="50" spans="1:20" ht="14.65" thickTop="1" x14ac:dyDescent="0.35">
      <c r="A50" s="12"/>
    </row>
    <row r="51" spans="1:20" ht="30.4" customHeight="1" thickBot="1" x14ac:dyDescent="0.4">
      <c r="A51" s="50" t="s">
        <v>86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1:20" ht="15" thickTop="1" thickBot="1" x14ac:dyDescent="0.45">
      <c r="A52" s="10" t="s">
        <v>78</v>
      </c>
      <c r="F52" s="15" t="s">
        <v>84</v>
      </c>
      <c r="J52" s="18">
        <f>0.16*(200+D5*10)/12*(1/(2+E5/5)-1/(6+F5/4))</f>
        <v>0.6399999999999999</v>
      </c>
      <c r="K52" s="17" t="s">
        <v>85</v>
      </c>
    </row>
    <row r="53" spans="1:20" ht="14.65" thickTop="1" x14ac:dyDescent="0.35">
      <c r="A53" s="12"/>
    </row>
    <row r="54" spans="1:20" ht="45.4" customHeight="1" x14ac:dyDescent="0.35">
      <c r="A54" s="52" t="s">
        <v>11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20" ht="14.25" x14ac:dyDescent="0.35">
      <c r="A55" s="10" t="s">
        <v>78</v>
      </c>
      <c r="E55" s="15" t="s">
        <v>88</v>
      </c>
      <c r="J55">
        <v>100</v>
      </c>
      <c r="K55" s="15" t="s">
        <v>87</v>
      </c>
      <c r="L55" s="19" t="s">
        <v>90</v>
      </c>
    </row>
    <row r="56" spans="1:20" ht="13.15" thickBot="1" x14ac:dyDescent="0.4">
      <c r="E56" s="15" t="s">
        <v>89</v>
      </c>
      <c r="J56">
        <f>80+F5</f>
        <v>86</v>
      </c>
      <c r="K56" s="15" t="s">
        <v>87</v>
      </c>
      <c r="L56" s="19" t="s">
        <v>91</v>
      </c>
      <c r="S56">
        <f>80+F5-100+20*LOG10((1+D5/10+2*(0.3+E5/5))/(1+D5/10))</f>
        <v>-4.8813608870055116</v>
      </c>
      <c r="T56" s="15" t="s">
        <v>87</v>
      </c>
    </row>
    <row r="57" spans="1:20" ht="13.9" thickTop="1" thickBot="1" x14ac:dyDescent="0.45">
      <c r="E57" s="15" t="s">
        <v>92</v>
      </c>
      <c r="G57" s="20">
        <f>1-10^(S56/10)</f>
        <v>0.67501455465020621</v>
      </c>
    </row>
    <row r="58" spans="1:20" ht="13.15" thickTop="1" x14ac:dyDescent="0.35"/>
  </sheetData>
  <mergeCells count="2">
    <mergeCell ref="A51:O51"/>
    <mergeCell ref="A54:O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responses 1</vt:lpstr>
      <vt:lpstr>Solution</vt:lpstr>
      <vt:lpstr>Ldir</vt:lpstr>
      <vt:lpstr>Lrif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Farina</cp:lastModifiedBy>
  <dcterms:created xsi:type="dcterms:W3CDTF">2020-11-21T18:15:41Z</dcterms:created>
  <dcterms:modified xsi:type="dcterms:W3CDTF">2020-12-19T11:47:24Z</dcterms:modified>
</cp:coreProperties>
</file>