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Farina\Corsi\Applied-Acoustics\Tests-2020\"/>
    </mc:Choice>
  </mc:AlternateContent>
  <xr:revisionPtr revIDLastSave="0" documentId="13_ncr:1_{BE40F60F-6893-42B4-A7FA-16EAD9559AFA}" xr6:coauthVersionLast="45" xr6:coauthVersionMax="45" xr10:uidLastSave="{00000000-0000-0000-0000-000000000000}"/>
  <bookViews>
    <workbookView xWindow="907" yWindow="-98" windowWidth="22231" windowHeight="14595" activeTab="1" xr2:uid="{00000000-000D-0000-FFFF-FFFF00000000}"/>
  </bookViews>
  <sheets>
    <sheet name="Form responses 1" sheetId="1" r:id="rId1"/>
    <sheet name="Solution" sheetId="2" r:id="rId2"/>
  </sheets>
  <definedNames>
    <definedName name="A">Solution!$I$55</definedName>
    <definedName name="alfa">Solution!$I$44</definedName>
    <definedName name="f">Solution!$L$49</definedName>
    <definedName name="L_1">Solution!$F$54</definedName>
    <definedName name="L_2">Solution!$I$54</definedName>
    <definedName name="Li_inc">Solution!$F$44</definedName>
    <definedName name="rho">Solution!$I$48</definedName>
    <definedName name="RR">Solution!$H$50</definedName>
    <definedName name="RT">Solution!$I$59</definedName>
    <definedName name="S">Solution!$F$55</definedName>
    <definedName name="sigma">Solution!$G$49</definedName>
    <definedName name="SPL">Solution!$F$59</definedName>
    <definedName name="t">Solution!$L$48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3" i="1" l="1"/>
  <c r="AT4" i="1"/>
  <c r="AT5" i="1"/>
  <c r="AT6" i="1"/>
  <c r="AT7" i="1"/>
  <c r="AT2" i="1"/>
  <c r="AM7" i="1"/>
  <c r="AM6" i="1"/>
  <c r="AM5" i="1"/>
  <c r="AM4" i="1"/>
  <c r="AM2" i="1"/>
  <c r="AM3" i="1"/>
  <c r="AQ3" i="1"/>
  <c r="AS3" i="1"/>
  <c r="AQ4" i="1"/>
  <c r="AS4" i="1"/>
  <c r="AQ5" i="1"/>
  <c r="AS5" i="1"/>
  <c r="AQ6" i="1"/>
  <c r="AS6" i="1"/>
  <c r="AQ7" i="1"/>
  <c r="AS7" i="1"/>
  <c r="AQ2" i="1"/>
  <c r="AS2" i="1"/>
  <c r="AO3" i="1"/>
  <c r="AO4" i="1"/>
  <c r="AO5" i="1"/>
  <c r="AO6" i="1"/>
  <c r="AO7" i="1"/>
  <c r="AO2" i="1"/>
  <c r="AI3" i="1"/>
  <c r="AK3" i="1"/>
  <c r="AI4" i="1"/>
  <c r="AK4" i="1"/>
  <c r="AI5" i="1"/>
  <c r="AK5" i="1"/>
  <c r="AI6" i="1"/>
  <c r="AK6" i="1"/>
  <c r="AI7" i="1"/>
  <c r="AK7" i="1"/>
  <c r="AI2" i="1"/>
  <c r="H51" i="2"/>
  <c r="AK2" i="1"/>
  <c r="AE3" i="1"/>
  <c r="AG3" i="1"/>
  <c r="AE4" i="1"/>
  <c r="AG4" i="1"/>
  <c r="AE5" i="1"/>
  <c r="AG5" i="1"/>
  <c r="AE6" i="1"/>
  <c r="AG6" i="1"/>
  <c r="AE7" i="1"/>
  <c r="AG7" i="1"/>
  <c r="AE2" i="1"/>
  <c r="AG2" i="1"/>
  <c r="X3" i="1" l="1"/>
  <c r="Y3" i="1"/>
  <c r="Z3" i="1"/>
  <c r="AA3" i="1"/>
  <c r="AB3" i="1"/>
  <c r="AC3" i="1"/>
  <c r="X4" i="1"/>
  <c r="Y4" i="1"/>
  <c r="Z4" i="1"/>
  <c r="AA4" i="1"/>
  <c r="AB4" i="1"/>
  <c r="AC4" i="1"/>
  <c r="X5" i="1"/>
  <c r="Y5" i="1"/>
  <c r="Z5" i="1"/>
  <c r="AA5" i="1"/>
  <c r="AB5" i="1"/>
  <c r="AC5" i="1"/>
  <c r="X6" i="1"/>
  <c r="Y6" i="1"/>
  <c r="Z6" i="1"/>
  <c r="AA6" i="1"/>
  <c r="AB6" i="1"/>
  <c r="AC6" i="1"/>
  <c r="X7" i="1"/>
  <c r="Y7" i="1"/>
  <c r="Z7" i="1"/>
  <c r="AA7" i="1"/>
  <c r="AB7" i="1"/>
  <c r="AC7" i="1"/>
  <c r="AC2" i="1"/>
  <c r="AB2" i="1"/>
  <c r="AA2" i="1"/>
  <c r="Z2" i="1"/>
  <c r="Y2" i="1"/>
  <c r="X2" i="1"/>
  <c r="Q3" i="1"/>
  <c r="R3" i="1"/>
  <c r="S3" i="1"/>
  <c r="T3" i="1"/>
  <c r="U3" i="1"/>
  <c r="V3" i="1"/>
  <c r="Q4" i="1"/>
  <c r="R4" i="1"/>
  <c r="S4" i="1"/>
  <c r="T4" i="1"/>
  <c r="U4" i="1"/>
  <c r="V4" i="1"/>
  <c r="Q5" i="1"/>
  <c r="R5" i="1"/>
  <c r="S5" i="1"/>
  <c r="T5" i="1"/>
  <c r="U5" i="1"/>
  <c r="V5" i="1"/>
  <c r="Q6" i="1"/>
  <c r="R6" i="1"/>
  <c r="S6" i="1"/>
  <c r="T6" i="1"/>
  <c r="U6" i="1"/>
  <c r="V6" i="1"/>
  <c r="Q7" i="1"/>
  <c r="R7" i="1"/>
  <c r="S7" i="1"/>
  <c r="T7" i="1"/>
  <c r="U7" i="1"/>
  <c r="V7" i="1"/>
  <c r="V2" i="1"/>
  <c r="U2" i="1"/>
  <c r="T2" i="1"/>
  <c r="S2" i="1"/>
  <c r="R2" i="1"/>
  <c r="Q2" i="1"/>
  <c r="O3" i="1"/>
  <c r="O4" i="1"/>
  <c r="O5" i="1"/>
  <c r="O7" i="1"/>
  <c r="O2" i="1"/>
  <c r="M7" i="1"/>
  <c r="M6" i="1"/>
  <c r="M5" i="1"/>
  <c r="M4" i="1"/>
  <c r="M3" i="1"/>
  <c r="M2" i="1"/>
  <c r="F2" i="1"/>
  <c r="F4" i="1"/>
  <c r="G4" i="1" s="1"/>
  <c r="F5" i="1"/>
  <c r="G5" i="1" s="1"/>
  <c r="F6" i="1"/>
  <c r="F7" i="1"/>
  <c r="G7" i="1" s="1"/>
  <c r="F3" i="1"/>
  <c r="H60" i="2"/>
  <c r="I59" i="2"/>
  <c r="F59" i="2"/>
  <c r="H56" i="2"/>
  <c r="I55" i="2"/>
  <c r="F55" i="2"/>
  <c r="I54" i="2"/>
  <c r="F54" i="2"/>
  <c r="L49" i="2"/>
  <c r="G49" i="2"/>
  <c r="H50" i="2" s="1"/>
  <c r="L48" i="2"/>
  <c r="I48" i="2"/>
  <c r="F48" i="2"/>
  <c r="H45" i="2"/>
  <c r="I44" i="2"/>
  <c r="F44" i="2"/>
  <c r="H4" i="1" l="1"/>
  <c r="I4" i="1" s="1"/>
  <c r="J4" i="1" s="1"/>
  <c r="K4" i="1" s="1"/>
  <c r="G2" i="1"/>
  <c r="I5" i="1"/>
  <c r="G6" i="1"/>
  <c r="H5" i="1"/>
  <c r="H7" i="1"/>
  <c r="G3" i="1"/>
  <c r="J5" i="1" l="1"/>
  <c r="H2" i="1"/>
  <c r="I2" i="1"/>
  <c r="K5" i="1"/>
  <c r="I7" i="1"/>
  <c r="H6" i="1"/>
  <c r="H3" i="1"/>
  <c r="J2" i="1" l="1"/>
  <c r="K2" i="1" s="1"/>
  <c r="I6" i="1"/>
  <c r="J6" i="1" s="1"/>
  <c r="J7" i="1"/>
  <c r="K7" i="1" s="1"/>
  <c r="I3" i="1"/>
  <c r="K6" i="1" l="1"/>
  <c r="J3" i="1"/>
  <c r="K3" i="1" s="1"/>
</calcChain>
</file>

<file path=xl/sharedStrings.xml><?xml version="1.0" encoding="utf-8"?>
<sst xmlns="http://schemas.openxmlformats.org/spreadsheetml/2006/main" count="191" uniqueCount="115">
  <si>
    <t>Timestamp</t>
  </si>
  <si>
    <t>Email address</t>
  </si>
  <si>
    <t>Surname and Name</t>
  </si>
  <si>
    <t>Matricula</t>
  </si>
  <si>
    <t>1) What is the definition of the Sound Reduction Index R?</t>
  </si>
  <si>
    <t>2) What is the effect of adding absorption to the receiving room on the value of the sound reduction index R of the partition?</t>
  </si>
  <si>
    <t>3) Which of the following acoustical parameters can be used for qualifying the acoustical quality of a room used for conferences and lessons?</t>
  </si>
  <si>
    <t>4) Which of the following materials provide good sound absorption?</t>
  </si>
  <si>
    <t>5) A plane wave having a sound intensity level of 80+F dB impinges over a large, planar surface having an absorption coefficient α=0.4+E/40. Compute the sound intensity level of the reflected plane wave.</t>
  </si>
  <si>
    <t>6) A plane wave having a sound intensity level of 80+F dB at the frequency of 400+D*100 Hz impinges over a wall made of concrete (ρ=2000+E*50 kg/m³), having a thickness of 10+F cm. Compute the sound intensity level of the plane wave which passes through the wall.</t>
  </si>
  <si>
    <t>7) In a laboratory for measuring the sound insulation of partitions, the following data are measured: L1 = 80+F dB (source room), L2 =30+E dB (receiving room). The partition has a surface S = 10+D/5 m², and the receiving room has an absorption area A = 5+E/2 m². Compute the value of R.</t>
  </si>
  <si>
    <t>8) A tapping machine is operated inside a multi-store building. In the receiving room the SPL is 60+F dB, and the reverberation time is 1+E/10 s. Compute the value of the normalized tapping level Ln according to the UNI 8270-4 standard.</t>
  </si>
  <si>
    <t>hammam.fathalla@gmail.com</t>
  </si>
  <si>
    <t>Hammam Fathalla</t>
  </si>
  <si>
    <t>It is the reduction of SPL caused by a wall, that is the difference between the SPL at the two sides of it</t>
  </si>
  <si>
    <t>R increases, as the absorption causes a reduction of the SPL in the receiving room</t>
  </si>
  <si>
    <t>IACC (inter-aural cross-correlation)</t>
  </si>
  <si>
    <t>open-cell polyurethane foam, polyesters fiber panels</t>
  </si>
  <si>
    <t>michael.petrolini@studenti.unipr.it</t>
  </si>
  <si>
    <t>Petrolini Michael</t>
  </si>
  <si>
    <t>It is given by -10*log10(t), where t is the transmission coefficient of the wall</t>
  </si>
  <si>
    <t>R decreases, as in the formula for computing R the absorption area of the receiving room is at the denominator</t>
  </si>
  <si>
    <t>Clarity C50, STI, Reverberation Time T20</t>
  </si>
  <si>
    <t>open-cell polyurethane foam, polyesters fiber panels, thick carpet</t>
  </si>
  <si>
    <t>82.53 dB</t>
  </si>
  <si>
    <t>51.46 dB</t>
  </si>
  <si>
    <t>60.95 dB</t>
  </si>
  <si>
    <t>alessio.pedrona@studenti.unipr.it</t>
  </si>
  <si>
    <t>Pedrona Alessio</t>
  </si>
  <si>
    <t>Clarity C50, Jlf (lateral fraction), STI, Reverberation Time T20</t>
  </si>
  <si>
    <t>35.6 dB</t>
  </si>
  <si>
    <t>19.0 dB</t>
  </si>
  <si>
    <t>52.0 dB</t>
  </si>
  <si>
    <t>63.4 dB</t>
  </si>
  <si>
    <t>jaspreet.pal@studenti.unipr.it</t>
  </si>
  <si>
    <t>Pal Jaspreet</t>
  </si>
  <si>
    <t>45.14 dB</t>
  </si>
  <si>
    <t>54.95 dB</t>
  </si>
  <si>
    <t>abdelwakil.nasrallah@studenti.unipr.it</t>
  </si>
  <si>
    <t>Nasr Allah Abdelwakil</t>
  </si>
  <si>
    <t>I do not know (no answer)</t>
  </si>
  <si>
    <t>55.68 dB</t>
  </si>
  <si>
    <t>60.58 dB</t>
  </si>
  <si>
    <t>reinhardtrading@studenti.unipr.it</t>
  </si>
  <si>
    <t>Rading Reinhardt</t>
  </si>
  <si>
    <t>It is the "insertion loss", given by the difference of the SPL at the receiver before and after installing the wall</t>
  </si>
  <si>
    <t>Clarity C50, IACC (inter-aural cross-correlation), STI</t>
  </si>
  <si>
    <t>thick carpet</t>
  </si>
  <si>
    <t>83.20 dB</t>
  </si>
  <si>
    <t>60.71 dB</t>
  </si>
  <si>
    <t>55.22 dB</t>
  </si>
  <si>
    <t>MATRICULA</t>
  </si>
  <si>
    <t>A</t>
  </si>
  <si>
    <t>B</t>
  </si>
  <si>
    <t>C</t>
  </si>
  <si>
    <t>D</t>
  </si>
  <si>
    <t>E</t>
  </si>
  <si>
    <t>F</t>
  </si>
  <si>
    <t>Test 3 - 02/11/2020 - Applied Acoustics</t>
  </si>
  <si>
    <r>
      <t>1)</t>
    </r>
    <r>
      <rPr>
        <b/>
        <sz val="7"/>
        <color rgb="FF000000"/>
        <rFont val="Times New Roman"/>
        <family val="1"/>
      </rPr>
      <t xml:space="preserve">    </t>
    </r>
    <r>
      <rPr>
        <b/>
        <sz val="11"/>
        <color rgb="FF000000"/>
        <rFont val="Calibri"/>
        <family val="2"/>
      </rPr>
      <t>What is the definition of the Sound Reduction Index R?</t>
    </r>
  </si>
  <si>
    <t>one answer only: 1 point if correct, -1 point if wrong, 0 point if "no answer"</t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</si>
  <si>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It is the reduction of SPL caused by a wall, that is the difference between the SPL at the two sides of it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</si>
  <si>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It is the "insertion loss", given by the difference of the SPL at the receiver before and after installing the wall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</si>
  <si>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It is given by -10*log10(t), where t is the transmission coefficient of the wall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</si>
  <si>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It is the ratio between the sound intensity passing through a wall and the sound intensity impinging over the wall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</si>
  <si>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It is the difference between the sound power level of the source and the sound pressure level behind the wall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</si>
  <si>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I do not know (no answer)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</si>
  <si>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R increases, as the absorption causes a reduction of the SPL in the receiving room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</si>
  <si>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R decreases, as in the formula for computing R the absorption area of the receiving room is at the denominator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</si>
  <si>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R does not change, as it only depends on the partition, and not on the acoustical properties of the two rooms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</si>
  <si>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R usually changes, but it is impossible to know if it will increase or decrease</t>
    </r>
  </si>
  <si>
    <r>
      <t>¡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It depends on where the additional absorption is located: R increases if it is on the partition, R decreases if it is elsewhere</t>
    </r>
  </si>
  <si>
    <t>multiple answers allowed: for each answer, 1 point if correct, -1 point if wrong, 0 point if "not selected"</t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</si>
  <si>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Clarity C80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</si>
  <si>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Clarity C50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</si>
  <si>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IACC (inter-aural cross-correlation)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</si>
  <si>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Jlf (lateral fraction)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</si>
  <si>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STI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</si>
  <si>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Reverberation Time T20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</si>
  <si>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closed-cell polystirene panels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</si>
  <si>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open-cell polyurethane foam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</si>
  <si>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polyesters fiber panels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</si>
  <si>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concrete slabs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</si>
  <si>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brick wall, plastered</t>
    </r>
  </si>
  <si>
    <r>
      <t>¨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thick carpet</t>
    </r>
  </si>
  <si>
    <t>write number and measurement unit</t>
  </si>
  <si>
    <t>Li,inc =</t>
  </si>
  <si>
    <t>dB</t>
  </si>
  <si>
    <t>alfa =</t>
  </si>
  <si>
    <t>rho =</t>
  </si>
  <si>
    <t>kg/m3</t>
  </si>
  <si>
    <t>t =</t>
  </si>
  <si>
    <t>m</t>
  </si>
  <si>
    <t>sigma = rho*t =</t>
  </si>
  <si>
    <t>kg/m2</t>
  </si>
  <si>
    <t>f =</t>
  </si>
  <si>
    <t>Hz</t>
  </si>
  <si>
    <t>R = 20*log10(sigma*f)-44 =</t>
  </si>
  <si>
    <t>Li,rif = Li,inc+10*log10(1-alfa) =</t>
  </si>
  <si>
    <t>L_1 =</t>
  </si>
  <si>
    <t>L_2 =</t>
  </si>
  <si>
    <t>S =</t>
  </si>
  <si>
    <t>m2</t>
  </si>
  <si>
    <t>A =</t>
  </si>
  <si>
    <t>R = L_1 - L_2 +10*log10(S/A) =</t>
  </si>
  <si>
    <t>SPL =</t>
  </si>
  <si>
    <t>s</t>
  </si>
  <si>
    <t>RT =</t>
  </si>
  <si>
    <t>Ln = SPL - 10*log10(RT/0.5) =</t>
  </si>
  <si>
    <t>L,out = L,inc - R =</t>
  </si>
  <si>
    <t>N.</t>
  </si>
  <si>
    <t>Score</t>
  </si>
  <si>
    <t>Correct Answer</t>
  </si>
  <si>
    <t>Correct Unit</t>
  </si>
  <si>
    <t>TOTAL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</si>
</sst>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\ h:mm:ss"/>
    <numFmt numFmtId="169" formatCode="0.0"/>
  </numFmts>
  <fonts count="13" x14ac:knownFonts="1">
    <font>
      <sz val="10"/>
      <color rgb="FF000000"/>
      <name val="Arial"/>
    </font>
    <font>
      <sz val="10"/>
      <color theme="1"/>
      <name val="Arial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7"/>
      <color rgb="FF000000"/>
      <name val="Times New Roman"/>
      <family val="1"/>
    </font>
    <font>
      <i/>
      <sz val="11"/>
      <color rgb="FF000000"/>
      <name val="Calibri"/>
      <family val="2"/>
    </font>
    <font>
      <sz val="11"/>
      <color rgb="FF000000"/>
      <name val="Wingdings"/>
      <charset val="2"/>
    </font>
    <font>
      <sz val="7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8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2" fillId="0" borderId="0" xfId="0" applyFont="1"/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0" xfId="0" applyFont="1" applyAlignment="1">
      <alignment horizontal="left" vertical="center" inden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 indent="4"/>
    </xf>
    <xf numFmtId="0" fontId="0" fillId="2" borderId="0" xfId="0" applyFont="1" applyFill="1" applyAlignment="1"/>
    <xf numFmtId="0" fontId="4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9" fillId="0" borderId="0" xfId="0" applyFont="1" applyAlignment="1"/>
    <xf numFmtId="0" fontId="2" fillId="0" borderId="0" xfId="0" applyFont="1" applyAlignment="1"/>
    <xf numFmtId="169" fontId="2" fillId="2" borderId="7" xfId="0" applyNumberFormat="1" applyFont="1" applyFill="1" applyBorder="1" applyAlignment="1"/>
    <xf numFmtId="0" fontId="2" fillId="2" borderId="8" xfId="0" applyFont="1" applyFill="1" applyBorder="1" applyAlignment="1"/>
    <xf numFmtId="0" fontId="10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left" vertical="center" wrapText="1"/>
    </xf>
    <xf numFmtId="169" fontId="12" fillId="0" borderId="10" xfId="0" applyNumberFormat="1" applyFont="1" applyBorder="1" applyAlignment="1">
      <alignment horizontal="center"/>
    </xf>
    <xf numFmtId="0" fontId="11" fillId="0" borderId="10" xfId="0" applyFont="1" applyBorder="1"/>
    <xf numFmtId="0" fontId="10" fillId="3" borderId="13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/>
    <xf numFmtId="0" fontId="1" fillId="0" borderId="10" xfId="0" applyFont="1" applyBorder="1" applyAlignment="1">
      <alignment horizontal="center"/>
    </xf>
    <xf numFmtId="0" fontId="0" fillId="0" borderId="10" xfId="0" applyFont="1" applyBorder="1" applyAlignment="1"/>
    <xf numFmtId="0" fontId="2" fillId="2" borderId="15" xfId="0" applyFont="1" applyFill="1" applyBorder="1" applyAlignment="1">
      <alignment horizontal="center"/>
    </xf>
    <xf numFmtId="0" fontId="0" fillId="0" borderId="16" xfId="0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1" fillId="0" borderId="11" xfId="0" applyFont="1" applyBorder="1" applyAlignment="1"/>
    <xf numFmtId="0" fontId="1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9" fontId="12" fillId="0" borderId="11" xfId="0" applyNumberFormat="1" applyFont="1" applyBorder="1" applyAlignment="1">
      <alignment horizontal="center"/>
    </xf>
    <xf numFmtId="0" fontId="11" fillId="0" borderId="11" xfId="0" applyFont="1" applyBorder="1"/>
    <xf numFmtId="0" fontId="0" fillId="0" borderId="11" xfId="0" applyFont="1" applyBorder="1" applyAlignment="1"/>
    <xf numFmtId="0" fontId="2" fillId="2" borderId="17" xfId="0" applyFont="1" applyFill="1" applyBorder="1" applyAlignment="1">
      <alignment horizontal="center"/>
    </xf>
  </cellXfs>
  <cellStyles count="1">
    <cellStyle name="Normal" xfId="0" builtinId="0"/>
  </cellStyles>
  <dxfs count="30"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749961851863155"/>
      </font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T8"/>
  <sheetViews>
    <sheetView workbookViewId="0">
      <pane ySplit="1" topLeftCell="A2" activePane="bottomLeft" state="frozen"/>
      <selection pane="bottomLeft" activeCell="E11" sqref="E11"/>
    </sheetView>
  </sheetViews>
  <sheetFormatPr defaultColWidth="14.3984375" defaultRowHeight="15.75" customHeight="1" x14ac:dyDescent="0.35"/>
  <cols>
    <col min="1" max="1" width="3.73046875" customWidth="1"/>
    <col min="2" max="2" width="17.3984375" customWidth="1"/>
    <col min="3" max="3" width="21.53125" customWidth="1"/>
    <col min="4" max="4" width="19.46484375" customWidth="1"/>
    <col min="5" max="5" width="9.59765625" customWidth="1"/>
    <col min="6" max="11" width="2.1328125" customWidth="1"/>
    <col min="12" max="12" width="21.53125" customWidth="1"/>
    <col min="13" max="13" width="7.06640625" customWidth="1"/>
    <col min="14" max="14" width="21.53125" customWidth="1"/>
    <col min="15" max="15" width="6.796875" customWidth="1"/>
    <col min="16" max="16" width="26.1328125" customWidth="1"/>
    <col min="17" max="22" width="2.46484375" customWidth="1"/>
    <col min="23" max="23" width="17.53125" customWidth="1"/>
    <col min="24" max="29" width="2.53125" customWidth="1"/>
    <col min="30" max="30" width="30.265625" customWidth="1"/>
    <col min="31" max="31" width="8.06640625" customWidth="1"/>
    <col min="32" max="32" width="7.6640625" customWidth="1"/>
    <col min="33" max="33" width="6.46484375" customWidth="1"/>
    <col min="34" max="34" width="36.53125" customWidth="1"/>
    <col min="35" max="36" width="8.265625" customWidth="1"/>
    <col min="37" max="37" width="6.796875" customWidth="1"/>
    <col min="38" max="38" width="41.33203125" customWidth="1"/>
    <col min="39" max="40" width="8.265625" customWidth="1"/>
    <col min="41" max="41" width="6.6640625" customWidth="1"/>
    <col min="42" max="42" width="33.796875" customWidth="1"/>
    <col min="43" max="44" width="8" customWidth="1"/>
    <col min="45" max="45" width="7.06640625" customWidth="1"/>
    <col min="46" max="46" width="9.265625" customWidth="1"/>
    <col min="47" max="48" width="21.53125" customWidth="1"/>
  </cols>
  <sheetData>
    <row r="1" spans="1:46" ht="99.75" customHeight="1" thickTop="1" x14ac:dyDescent="0.35">
      <c r="A1" s="25" t="s">
        <v>110</v>
      </c>
      <c r="B1" s="21" t="s">
        <v>0</v>
      </c>
      <c r="C1" s="21" t="s">
        <v>1</v>
      </c>
      <c r="D1" s="21" t="s">
        <v>2</v>
      </c>
      <c r="E1" s="21" t="s">
        <v>3</v>
      </c>
      <c r="F1" s="21" t="s">
        <v>52</v>
      </c>
      <c r="G1" s="21" t="s">
        <v>53</v>
      </c>
      <c r="H1" s="21" t="s">
        <v>54</v>
      </c>
      <c r="I1" s="21" t="s">
        <v>55</v>
      </c>
      <c r="J1" s="21" t="s">
        <v>56</v>
      </c>
      <c r="K1" s="21" t="s">
        <v>57</v>
      </c>
      <c r="L1" s="27" t="s">
        <v>4</v>
      </c>
      <c r="M1" s="21" t="s">
        <v>111</v>
      </c>
      <c r="N1" s="27" t="s">
        <v>5</v>
      </c>
      <c r="O1" s="21" t="s">
        <v>111</v>
      </c>
      <c r="P1" s="27" t="s">
        <v>6</v>
      </c>
      <c r="Q1" s="26">
        <v>-1</v>
      </c>
      <c r="R1" s="26">
        <v>1</v>
      </c>
      <c r="S1" s="26">
        <v>-1</v>
      </c>
      <c r="T1" s="26">
        <v>-1</v>
      </c>
      <c r="U1" s="26">
        <v>1</v>
      </c>
      <c r="V1" s="26">
        <v>1</v>
      </c>
      <c r="W1" s="27" t="s">
        <v>7</v>
      </c>
      <c r="X1" s="26">
        <v>-1</v>
      </c>
      <c r="Y1" s="26">
        <v>1</v>
      </c>
      <c r="Z1" s="26">
        <v>1</v>
      </c>
      <c r="AA1" s="26">
        <v>-1</v>
      </c>
      <c r="AB1" s="26">
        <v>-1</v>
      </c>
      <c r="AC1" s="26">
        <v>1</v>
      </c>
      <c r="AD1" s="27" t="s">
        <v>8</v>
      </c>
      <c r="AE1" s="21" t="s">
        <v>112</v>
      </c>
      <c r="AF1" s="21" t="s">
        <v>113</v>
      </c>
      <c r="AG1" s="21" t="s">
        <v>111</v>
      </c>
      <c r="AH1" s="27" t="s">
        <v>9</v>
      </c>
      <c r="AI1" s="21" t="s">
        <v>112</v>
      </c>
      <c r="AJ1" s="21" t="s">
        <v>113</v>
      </c>
      <c r="AK1" s="21" t="s">
        <v>111</v>
      </c>
      <c r="AL1" s="27" t="s">
        <v>10</v>
      </c>
      <c r="AM1" s="21" t="s">
        <v>112</v>
      </c>
      <c r="AN1" s="21" t="s">
        <v>113</v>
      </c>
      <c r="AO1" s="21" t="s">
        <v>111</v>
      </c>
      <c r="AP1" s="27" t="s">
        <v>11</v>
      </c>
      <c r="AQ1" s="21" t="s">
        <v>112</v>
      </c>
      <c r="AR1" s="21" t="s">
        <v>113</v>
      </c>
      <c r="AS1" s="21" t="s">
        <v>111</v>
      </c>
      <c r="AT1" s="30" t="s">
        <v>114</v>
      </c>
    </row>
    <row r="2" spans="1:46" ht="13.15" x14ac:dyDescent="0.4">
      <c r="A2" s="31">
        <v>1</v>
      </c>
      <c r="B2" s="32">
        <v>44138.406938518514</v>
      </c>
      <c r="C2" s="33" t="s">
        <v>12</v>
      </c>
      <c r="D2" s="33" t="s">
        <v>13</v>
      </c>
      <c r="E2" s="34">
        <v>127931</v>
      </c>
      <c r="F2" s="22">
        <f t="shared" ref="F2" si="0">INT(E2/100000)</f>
        <v>1</v>
      </c>
      <c r="G2" s="22">
        <f t="shared" ref="G2" si="1">INT(($E2-100000*F2)/10000)</f>
        <v>2</v>
      </c>
      <c r="H2" s="22">
        <f t="shared" ref="H2" si="2">INT(($E2-100000*F2-10000*G2)/1000)</f>
        <v>7</v>
      </c>
      <c r="I2" s="22">
        <f t="shared" ref="I2:I7" si="3">INT(($E2-100000*$F2-10000*$G2-1000*$H2)/100)</f>
        <v>9</v>
      </c>
      <c r="J2" s="22">
        <f t="shared" ref="J2:J7" si="4">INT(($E2-100000*$F2-10000*$G2-1000*$H2-100*$I2)/10)</f>
        <v>3</v>
      </c>
      <c r="K2" s="22">
        <f t="shared" ref="K2:K7" si="5">INT(($E2-100000*$F2-10000*$G2-1000*$H2-100*$I2-10*$J2))</f>
        <v>1</v>
      </c>
      <c r="L2" s="33" t="s">
        <v>14</v>
      </c>
      <c r="M2" s="23">
        <f>IF(L2="It is given by -10*log10(t), where t is the transmission coefficient of the wall",1,IF(L2="",0,-1))</f>
        <v>-1</v>
      </c>
      <c r="N2" s="33" t="s">
        <v>15</v>
      </c>
      <c r="O2" s="23">
        <f>IF(N2="R does not change, as it only depends on the partition, and not on the acoustical properties of the two rooms",1,IF(N2="",0,-1))</f>
        <v>-1</v>
      </c>
      <c r="P2" s="33" t="s">
        <v>16</v>
      </c>
      <c r="Q2" s="23">
        <f>IF(ISERROR(FIND("Clarity C80",P2,1)),0,Q$1)</f>
        <v>0</v>
      </c>
      <c r="R2" s="23">
        <f>IF(ISERROR(FIND("Clarity C50",P2,1)),0,R$1)</f>
        <v>0</v>
      </c>
      <c r="S2" s="23">
        <f>IF(ISERROR(FIND("IACC (inter-aural cross-correlation)",P2,1)),0,S$1)</f>
        <v>-1</v>
      </c>
      <c r="T2" s="23">
        <f>IF(ISERROR(FIND("Jlf (lateral fraction)",P2,1)),0,T$1)</f>
        <v>0</v>
      </c>
      <c r="U2" s="23">
        <f>IF(ISERROR(FIND("STI",P2,1)),0,U$1)</f>
        <v>0</v>
      </c>
      <c r="V2" s="23">
        <f>IF(ISERROR(FIND("T20",P2,1)),0,V$1)</f>
        <v>0</v>
      </c>
      <c r="W2" s="33" t="s">
        <v>17</v>
      </c>
      <c r="X2" s="23">
        <f>IF(ISERROR(FIND("closed-cell polystirene panels",W2,1)),0,X$1)</f>
        <v>0</v>
      </c>
      <c r="Y2" s="23">
        <f>IF(ISERROR(FIND("open-cell polyurethane foam",W2,1)),0,Y$1)</f>
        <v>1</v>
      </c>
      <c r="Z2" s="23">
        <f>IF(ISERROR(FIND("polyesters fiber panels",W2,1)),0,Z$1)</f>
        <v>1</v>
      </c>
      <c r="AA2" s="23">
        <f>IF(ISERROR(FIND("concrete slabs",W2,1)),0,AA$1)</f>
        <v>0</v>
      </c>
      <c r="AB2" s="23">
        <f>IF(ISERROR(FIND("brick wall, plastered",W2,1)),0,AB$1)</f>
        <v>0</v>
      </c>
      <c r="AC2" s="23">
        <f>IF(ISERROR(FIND("thick carpet",W2,1)),0,AC$1)</f>
        <v>0</v>
      </c>
      <c r="AD2" s="33">
        <v>170</v>
      </c>
      <c r="AE2" s="28">
        <f>80+K2+10*LOG10(1-(0.4+J2/40))</f>
        <v>78.20159303405957</v>
      </c>
      <c r="AF2" s="29" t="s">
        <v>87</v>
      </c>
      <c r="AG2" s="23">
        <f>IF(AD2="",0,IF(EXACT(RIGHT(AD2,2),"dB"),IF(ABS(VALUE(LEFT(AD2,FIND(" ",AD2,1)))-AE2)&lt;=0.5,1,-1),-1))</f>
        <v>-1</v>
      </c>
      <c r="AH2" s="35"/>
      <c r="AI2" s="28">
        <f>80+K2-20*LOG10((2000+J2*50)*(10+K2)/100*(400+I2*100))+44</f>
        <v>15.244510052386659</v>
      </c>
      <c r="AJ2" s="29" t="s">
        <v>87</v>
      </c>
      <c r="AK2" s="23">
        <f>IF(AH2="",0,IF(EXACT(RIGHT(AH2,2),"dB"),IF(ABS(VALUE(LEFT(AH2,FIND(" ",AH2,1)))-AI2)&lt;=0.5,1,-1),-1))</f>
        <v>0</v>
      </c>
      <c r="AL2" s="33">
        <v>-2.0499999999999998</v>
      </c>
      <c r="AM2" s="28">
        <f t="shared" ref="AM2:AM7" si="6">80+K2-(30+J2)+10*LOG10((10+I2/5)/(5+J2/2))</f>
        <v>50.589686506632695</v>
      </c>
      <c r="AN2" s="29" t="s">
        <v>87</v>
      </c>
      <c r="AO2" s="23">
        <f>IF(AL2="",0,IF(EXACT(RIGHT(AL2,2),"dB"),IF(ABS(VALUE(LEFT(AL2,FIND(" ",AL2,1)))-AM2)&lt;=0.5,1,-1),-1))</f>
        <v>-1</v>
      </c>
      <c r="AP2" s="35"/>
      <c r="AQ2" s="28">
        <f>60+K2-10*LOG10((1+J2/10)/0.5)</f>
        <v>56.850266520291818</v>
      </c>
      <c r="AR2" s="29" t="s">
        <v>87</v>
      </c>
      <c r="AS2" s="23">
        <f>IF(AP2="",0,IF(EXACT(RIGHT(AP2,2),"dB"),IF(ABS(VALUE(LEFT(AP2,FIND(" ",AP2,1)))-AQ2)&lt;=0.5,1,-1),-1))</f>
        <v>0</v>
      </c>
      <c r="AT2" s="36">
        <f>M2+O2+SUM(Q2:V2)+SUM(X2:AC2)+AG2+AK2+AO2+AS2</f>
        <v>-3</v>
      </c>
    </row>
    <row r="3" spans="1:46" ht="13.15" x14ac:dyDescent="0.4">
      <c r="A3" s="31">
        <v>2</v>
      </c>
      <c r="B3" s="32">
        <v>44138.420356331015</v>
      </c>
      <c r="C3" s="33" t="s">
        <v>18</v>
      </c>
      <c r="D3" s="33" t="s">
        <v>19</v>
      </c>
      <c r="E3" s="34">
        <v>310666</v>
      </c>
      <c r="F3" s="22">
        <f t="shared" ref="F3" si="7">INT(E3/100000)</f>
        <v>3</v>
      </c>
      <c r="G3" s="22">
        <f t="shared" ref="G3" si="8">INT(($E3-100000*F3)/10000)</f>
        <v>1</v>
      </c>
      <c r="H3" s="22">
        <f t="shared" ref="H3" si="9">INT(($E3-100000*F3-10000*G3)/1000)</f>
        <v>0</v>
      </c>
      <c r="I3" s="22">
        <f t="shared" si="3"/>
        <v>6</v>
      </c>
      <c r="J3" s="22">
        <f t="shared" si="4"/>
        <v>6</v>
      </c>
      <c r="K3" s="22">
        <f t="shared" si="5"/>
        <v>6</v>
      </c>
      <c r="L3" s="33" t="s">
        <v>20</v>
      </c>
      <c r="M3" s="23">
        <f t="shared" ref="M3:M7" si="10">IF(L3="It is given by -10*log10(t), where t is the transmission coefficient of the wall",1,IF(L3="",0,-1))</f>
        <v>1</v>
      </c>
      <c r="N3" s="33" t="s">
        <v>21</v>
      </c>
      <c r="O3" s="23">
        <f t="shared" ref="O3:O7" si="11">IF(N3="R does not change, as it only depends on the partition, and not on the acoustical properties of the two rooms",1,IF(N3="",0,-1))</f>
        <v>-1</v>
      </c>
      <c r="P3" s="33" t="s">
        <v>22</v>
      </c>
      <c r="Q3" s="23">
        <f t="shared" ref="Q3:Q7" si="12">IF(ISERROR(FIND("Clarity C80",P3,1)),0,Q$1)</f>
        <v>0</v>
      </c>
      <c r="R3" s="23">
        <f t="shared" ref="R3:R7" si="13">IF(ISERROR(FIND("Clarity C50",P3,1)),0,R$1)</f>
        <v>1</v>
      </c>
      <c r="S3" s="23">
        <f t="shared" ref="S3:S7" si="14">IF(ISERROR(FIND("IACC (inter-aural cross-correlation)",P3,1)),0,S$1)</f>
        <v>0</v>
      </c>
      <c r="T3" s="23">
        <f t="shared" ref="T3:T7" si="15">IF(ISERROR(FIND("Jlf (lateral fraction)",P3,1)),0,T$1)</f>
        <v>0</v>
      </c>
      <c r="U3" s="23">
        <f t="shared" ref="U3:U7" si="16">IF(ISERROR(FIND("STI",P3,1)),0,U$1)</f>
        <v>1</v>
      </c>
      <c r="V3" s="23">
        <f t="shared" ref="V3:V7" si="17">IF(ISERROR(FIND("T20",P3,1)),0,V$1)</f>
        <v>1</v>
      </c>
      <c r="W3" s="33" t="s">
        <v>23</v>
      </c>
      <c r="X3" s="23">
        <f t="shared" ref="X3:X7" si="18">IF(ISERROR(FIND("closed-cell polystirene panels",W3,1)),0,X$1)</f>
        <v>0</v>
      </c>
      <c r="Y3" s="23">
        <f t="shared" ref="Y3:Y7" si="19">IF(ISERROR(FIND("open-cell polyurethane foam",W3,1)),0,Y$1)</f>
        <v>1</v>
      </c>
      <c r="Z3" s="23">
        <f t="shared" ref="Z3:Z7" si="20">IF(ISERROR(FIND("polyesters fiber panels",W3,1)),0,Z$1)</f>
        <v>1</v>
      </c>
      <c r="AA3" s="23">
        <f t="shared" ref="AA3:AA7" si="21">IF(ISERROR(FIND("concrete slabs",W3,1)),0,AA$1)</f>
        <v>0</v>
      </c>
      <c r="AB3" s="23">
        <f t="shared" ref="AB3:AB7" si="22">IF(ISERROR(FIND("brick wall, plastered",W3,1)),0,AB$1)</f>
        <v>0</v>
      </c>
      <c r="AC3" s="23">
        <f t="shared" ref="AC3:AC7" si="23">IF(ISERROR(FIND("thick carpet",W3,1)),0,AC$1)</f>
        <v>1</v>
      </c>
      <c r="AD3" s="33" t="s">
        <v>24</v>
      </c>
      <c r="AE3" s="28">
        <f t="shared" ref="AE3:AE7" si="24">80+K3+10*LOG10(1-(0.4+J3/40))</f>
        <v>82.53212513775344</v>
      </c>
      <c r="AF3" s="29" t="s">
        <v>87</v>
      </c>
      <c r="AG3" s="23">
        <f t="shared" ref="AG3:AG7" si="25">IF(AD3="",0,IF(EXACT(RIGHT(AD3,2),"dB"),IF(ABS(VALUE(LEFT(AD3,FIND(" ",AD3,1)))-AE3)&lt;=0.5,1,-1),-1))</f>
        <v>1</v>
      </c>
      <c r="AH3" s="35"/>
      <c r="AI3" s="28">
        <f t="shared" ref="AI3:AI7" si="26">80+K3-20*LOG10((2000+J3*50)*(10+K3)/100*(400+I3*100))+44</f>
        <v>18.683043626529638</v>
      </c>
      <c r="AJ3" s="29" t="s">
        <v>87</v>
      </c>
      <c r="AK3" s="23">
        <f t="shared" ref="AK3:AK7" si="27">IF(AH3="",0,IF(EXACT(RIGHT(AH3,2),"dB"),IF(ABS(VALUE(LEFT(AH3,FIND(" ",AH3,1)))-AI3)&lt;=0.5,1,-1),-1))</f>
        <v>0</v>
      </c>
      <c r="AL3" s="33" t="s">
        <v>25</v>
      </c>
      <c r="AM3" s="28">
        <f>80+K3-(30+J3)+10*LOG10((10+I3/5)/(5+J3/2))</f>
        <v>51.461280356782382</v>
      </c>
      <c r="AN3" s="29" t="s">
        <v>87</v>
      </c>
      <c r="AO3" s="23">
        <f t="shared" ref="AO3:AO7" si="28">IF(AL3="",0,IF(EXACT(RIGHT(AL3,2),"dB"),IF(ABS(VALUE(LEFT(AL3,FIND(" ",AL3,1)))-AM3)&lt;=0.5,1,-1),-1))</f>
        <v>1</v>
      </c>
      <c r="AP3" s="33" t="s">
        <v>26</v>
      </c>
      <c r="AQ3" s="28">
        <f t="shared" ref="AQ3:AQ7" si="29">60+K3-10*LOG10((1+J3/10)/0.5)</f>
        <v>60.948500216800937</v>
      </c>
      <c r="AR3" s="29" t="s">
        <v>87</v>
      </c>
      <c r="AS3" s="23">
        <f t="shared" ref="AS3:AS7" si="30">IF(AP3="",0,IF(EXACT(RIGHT(AP3,2),"dB"),IF(ABS(VALUE(LEFT(AP3,FIND(" ",AP3,1)))-AQ3)&lt;=0.5,1,-1),-1))</f>
        <v>1</v>
      </c>
      <c r="AT3" s="36">
        <f t="shared" ref="AT3:AT7" si="31">M3+O3+SUM(Q3:V3)+SUM(X3:AC3)+AG3+AK3+AO3+AS3</f>
        <v>9</v>
      </c>
    </row>
    <row r="4" spans="1:46" ht="13.15" x14ac:dyDescent="0.4">
      <c r="A4" s="31">
        <v>3</v>
      </c>
      <c r="B4" s="32">
        <v>44138.420556504629</v>
      </c>
      <c r="C4" s="33" t="s">
        <v>27</v>
      </c>
      <c r="D4" s="33" t="s">
        <v>28</v>
      </c>
      <c r="E4" s="34">
        <v>313789</v>
      </c>
      <c r="F4" s="22">
        <f t="shared" ref="F4:F7" si="32">INT(E4/100000)</f>
        <v>3</v>
      </c>
      <c r="G4" s="22">
        <f t="shared" ref="G4:G7" si="33">INT(($E4-100000*F4)/10000)</f>
        <v>1</v>
      </c>
      <c r="H4" s="22">
        <f t="shared" ref="H4:H7" si="34">INT(($E4-100000*F4-10000*G4)/1000)</f>
        <v>3</v>
      </c>
      <c r="I4" s="22">
        <f t="shared" si="3"/>
        <v>7</v>
      </c>
      <c r="J4" s="22">
        <f t="shared" si="4"/>
        <v>8</v>
      </c>
      <c r="K4" s="22">
        <f t="shared" si="5"/>
        <v>9</v>
      </c>
      <c r="L4" s="33" t="s">
        <v>20</v>
      </c>
      <c r="M4" s="23">
        <f t="shared" si="10"/>
        <v>1</v>
      </c>
      <c r="N4" s="33" t="s">
        <v>15</v>
      </c>
      <c r="O4" s="23">
        <f t="shared" si="11"/>
        <v>-1</v>
      </c>
      <c r="P4" s="33" t="s">
        <v>29</v>
      </c>
      <c r="Q4" s="23">
        <f t="shared" si="12"/>
        <v>0</v>
      </c>
      <c r="R4" s="23">
        <f t="shared" si="13"/>
        <v>1</v>
      </c>
      <c r="S4" s="23">
        <f t="shared" si="14"/>
        <v>0</v>
      </c>
      <c r="T4" s="23">
        <f t="shared" si="15"/>
        <v>-1</v>
      </c>
      <c r="U4" s="23">
        <f t="shared" si="16"/>
        <v>1</v>
      </c>
      <c r="V4" s="23">
        <f t="shared" si="17"/>
        <v>1</v>
      </c>
      <c r="W4" s="33" t="s">
        <v>23</v>
      </c>
      <c r="X4" s="23">
        <f t="shared" si="18"/>
        <v>0</v>
      </c>
      <c r="Y4" s="23">
        <f t="shared" si="19"/>
        <v>1</v>
      </c>
      <c r="Z4" s="23">
        <f t="shared" si="20"/>
        <v>1</v>
      </c>
      <c r="AA4" s="23">
        <f t="shared" si="21"/>
        <v>0</v>
      </c>
      <c r="AB4" s="23">
        <f t="shared" si="22"/>
        <v>0</v>
      </c>
      <c r="AC4" s="23">
        <f t="shared" si="23"/>
        <v>1</v>
      </c>
      <c r="AD4" s="33" t="s">
        <v>30</v>
      </c>
      <c r="AE4" s="28">
        <f t="shared" si="24"/>
        <v>85.020599913279625</v>
      </c>
      <c r="AF4" s="29" t="s">
        <v>87</v>
      </c>
      <c r="AG4" s="23">
        <f t="shared" si="25"/>
        <v>-1</v>
      </c>
      <c r="AH4" s="33" t="s">
        <v>31</v>
      </c>
      <c r="AI4" s="28">
        <f t="shared" si="26"/>
        <v>18.992849443546802</v>
      </c>
      <c r="AJ4" s="29" t="s">
        <v>87</v>
      </c>
      <c r="AK4" s="23">
        <f t="shared" si="27"/>
        <v>1</v>
      </c>
      <c r="AL4" s="33" t="s">
        <v>32</v>
      </c>
      <c r="AM4" s="28">
        <f t="shared" ref="AM4:AM7" si="35">80+K4-(30+J4)+10*LOG10((10+I4/5)/(5+J4/2))</f>
        <v>52.026623418971475</v>
      </c>
      <c r="AN4" s="29" t="s">
        <v>87</v>
      </c>
      <c r="AO4" s="23">
        <f t="shared" si="28"/>
        <v>1</v>
      </c>
      <c r="AP4" s="33" t="s">
        <v>33</v>
      </c>
      <c r="AQ4" s="28">
        <f t="shared" si="29"/>
        <v>63.43697499232713</v>
      </c>
      <c r="AR4" s="29" t="s">
        <v>87</v>
      </c>
      <c r="AS4" s="23">
        <f t="shared" si="30"/>
        <v>1</v>
      </c>
      <c r="AT4" s="36">
        <f t="shared" si="31"/>
        <v>7</v>
      </c>
    </row>
    <row r="5" spans="1:46" ht="13.15" x14ac:dyDescent="0.4">
      <c r="A5" s="31">
        <v>4</v>
      </c>
      <c r="B5" s="32">
        <v>44138.420923101847</v>
      </c>
      <c r="C5" s="33" t="s">
        <v>34</v>
      </c>
      <c r="D5" s="33" t="s">
        <v>35</v>
      </c>
      <c r="E5" s="34">
        <v>324260</v>
      </c>
      <c r="F5" s="22">
        <f t="shared" si="32"/>
        <v>3</v>
      </c>
      <c r="G5" s="22">
        <f t="shared" si="33"/>
        <v>2</v>
      </c>
      <c r="H5" s="22">
        <f t="shared" si="34"/>
        <v>4</v>
      </c>
      <c r="I5" s="22">
        <f t="shared" si="3"/>
        <v>2</v>
      </c>
      <c r="J5" s="22">
        <f t="shared" si="4"/>
        <v>6</v>
      </c>
      <c r="K5" s="22">
        <f t="shared" si="5"/>
        <v>0</v>
      </c>
      <c r="L5" s="33" t="s">
        <v>20</v>
      </c>
      <c r="M5" s="23">
        <f t="shared" si="10"/>
        <v>1</v>
      </c>
      <c r="N5" s="33" t="s">
        <v>21</v>
      </c>
      <c r="O5" s="23">
        <f t="shared" si="11"/>
        <v>-1</v>
      </c>
      <c r="P5" s="33" t="s">
        <v>22</v>
      </c>
      <c r="Q5" s="23">
        <f t="shared" si="12"/>
        <v>0</v>
      </c>
      <c r="R5" s="23">
        <f t="shared" si="13"/>
        <v>1</v>
      </c>
      <c r="S5" s="23">
        <f t="shared" si="14"/>
        <v>0</v>
      </c>
      <c r="T5" s="23">
        <f t="shared" si="15"/>
        <v>0</v>
      </c>
      <c r="U5" s="23">
        <f t="shared" si="16"/>
        <v>1</v>
      </c>
      <c r="V5" s="23">
        <f t="shared" si="17"/>
        <v>1</v>
      </c>
      <c r="W5" s="33" t="s">
        <v>23</v>
      </c>
      <c r="X5" s="23">
        <f t="shared" si="18"/>
        <v>0</v>
      </c>
      <c r="Y5" s="23">
        <f t="shared" si="19"/>
        <v>1</v>
      </c>
      <c r="Z5" s="23">
        <f t="shared" si="20"/>
        <v>1</v>
      </c>
      <c r="AA5" s="23">
        <f t="shared" si="21"/>
        <v>0</v>
      </c>
      <c r="AB5" s="23">
        <f t="shared" si="22"/>
        <v>0</v>
      </c>
      <c r="AC5" s="23">
        <f t="shared" si="23"/>
        <v>1</v>
      </c>
      <c r="AD5" s="35"/>
      <c r="AE5" s="28">
        <f t="shared" si="24"/>
        <v>76.53212513775344</v>
      </c>
      <c r="AF5" s="29" t="s">
        <v>87</v>
      </c>
      <c r="AG5" s="23">
        <f t="shared" si="25"/>
        <v>0</v>
      </c>
      <c r="AH5" s="35"/>
      <c r="AI5" s="28">
        <f t="shared" si="26"/>
        <v>21.202418271975262</v>
      </c>
      <c r="AJ5" s="29" t="s">
        <v>87</v>
      </c>
      <c r="AK5" s="23">
        <f t="shared" si="27"/>
        <v>0</v>
      </c>
      <c r="AL5" s="33" t="s">
        <v>36</v>
      </c>
      <c r="AM5" s="28">
        <f t="shared" si="35"/>
        <v>45.139433523068369</v>
      </c>
      <c r="AN5" s="29" t="s">
        <v>87</v>
      </c>
      <c r="AO5" s="23">
        <f t="shared" si="28"/>
        <v>1</v>
      </c>
      <c r="AP5" s="33" t="s">
        <v>37</v>
      </c>
      <c r="AQ5" s="28">
        <f t="shared" si="29"/>
        <v>54.948500216800937</v>
      </c>
      <c r="AR5" s="29" t="s">
        <v>87</v>
      </c>
      <c r="AS5" s="23">
        <f t="shared" si="30"/>
        <v>1</v>
      </c>
      <c r="AT5" s="36">
        <f t="shared" si="31"/>
        <v>8</v>
      </c>
    </row>
    <row r="6" spans="1:46" ht="13.15" x14ac:dyDescent="0.4">
      <c r="A6" s="31">
        <v>5</v>
      </c>
      <c r="B6" s="32">
        <v>44138.421307777782</v>
      </c>
      <c r="C6" s="33" t="s">
        <v>38</v>
      </c>
      <c r="D6" s="33" t="s">
        <v>39</v>
      </c>
      <c r="E6" s="34">
        <v>324114</v>
      </c>
      <c r="F6" s="22">
        <f t="shared" si="32"/>
        <v>3</v>
      </c>
      <c r="G6" s="22">
        <f t="shared" si="33"/>
        <v>2</v>
      </c>
      <c r="H6" s="22">
        <f t="shared" si="34"/>
        <v>4</v>
      </c>
      <c r="I6" s="22">
        <f t="shared" si="3"/>
        <v>1</v>
      </c>
      <c r="J6" s="22">
        <f t="shared" si="4"/>
        <v>1</v>
      </c>
      <c r="K6" s="22">
        <f t="shared" si="5"/>
        <v>4</v>
      </c>
      <c r="L6" s="33" t="s">
        <v>20</v>
      </c>
      <c r="M6" s="23">
        <f t="shared" si="10"/>
        <v>1</v>
      </c>
      <c r="N6" s="33" t="s">
        <v>40</v>
      </c>
      <c r="O6" s="23">
        <v>0</v>
      </c>
      <c r="P6" s="33" t="s">
        <v>22</v>
      </c>
      <c r="Q6" s="23">
        <f t="shared" si="12"/>
        <v>0</v>
      </c>
      <c r="R6" s="23">
        <f t="shared" si="13"/>
        <v>1</v>
      </c>
      <c r="S6" s="23">
        <f t="shared" si="14"/>
        <v>0</v>
      </c>
      <c r="T6" s="23">
        <f t="shared" si="15"/>
        <v>0</v>
      </c>
      <c r="U6" s="23">
        <f t="shared" si="16"/>
        <v>1</v>
      </c>
      <c r="V6" s="23">
        <f t="shared" si="17"/>
        <v>1</v>
      </c>
      <c r="W6" s="33" t="s">
        <v>23</v>
      </c>
      <c r="X6" s="23">
        <f t="shared" si="18"/>
        <v>0</v>
      </c>
      <c r="Y6" s="23">
        <f t="shared" si="19"/>
        <v>1</v>
      </c>
      <c r="Z6" s="23">
        <f t="shared" si="20"/>
        <v>1</v>
      </c>
      <c r="AA6" s="23">
        <f t="shared" si="21"/>
        <v>0</v>
      </c>
      <c r="AB6" s="23">
        <f t="shared" si="22"/>
        <v>0</v>
      </c>
      <c r="AC6" s="23">
        <f t="shared" si="23"/>
        <v>1</v>
      </c>
      <c r="AD6" s="35"/>
      <c r="AE6" s="28">
        <f t="shared" si="24"/>
        <v>81.596678446896306</v>
      </c>
      <c r="AF6" s="29" t="s">
        <v>87</v>
      </c>
      <c r="AG6" s="23">
        <f t="shared" si="25"/>
        <v>0</v>
      </c>
      <c r="AH6" s="35"/>
      <c r="AI6" s="28">
        <f t="shared" si="26"/>
        <v>24.86296197859977</v>
      </c>
      <c r="AJ6" s="29" t="s">
        <v>87</v>
      </c>
      <c r="AK6" s="23">
        <f t="shared" si="27"/>
        <v>0</v>
      </c>
      <c r="AL6" s="33" t="s">
        <v>41</v>
      </c>
      <c r="AM6" s="28">
        <f t="shared" si="35"/>
        <v>55.682374822676735</v>
      </c>
      <c r="AN6" s="29" t="s">
        <v>87</v>
      </c>
      <c r="AO6" s="23">
        <f t="shared" si="28"/>
        <v>1</v>
      </c>
      <c r="AP6" s="33" t="s">
        <v>42</v>
      </c>
      <c r="AQ6" s="28">
        <f t="shared" si="29"/>
        <v>60.575773191777941</v>
      </c>
      <c r="AR6" s="29" t="s">
        <v>87</v>
      </c>
      <c r="AS6" s="23">
        <f t="shared" si="30"/>
        <v>1</v>
      </c>
      <c r="AT6" s="36">
        <f t="shared" si="31"/>
        <v>9</v>
      </c>
    </row>
    <row r="7" spans="1:46" ht="13.5" thickBot="1" x14ac:dyDescent="0.45">
      <c r="A7" s="37">
        <v>6</v>
      </c>
      <c r="B7" s="38">
        <v>44138.422364351849</v>
      </c>
      <c r="C7" s="39" t="s">
        <v>43</v>
      </c>
      <c r="D7" s="39" t="s">
        <v>44</v>
      </c>
      <c r="E7" s="40">
        <v>301136</v>
      </c>
      <c r="F7" s="41">
        <f t="shared" si="32"/>
        <v>3</v>
      </c>
      <c r="G7" s="41">
        <f t="shared" si="33"/>
        <v>0</v>
      </c>
      <c r="H7" s="41">
        <f t="shared" si="34"/>
        <v>1</v>
      </c>
      <c r="I7" s="41">
        <f t="shared" si="3"/>
        <v>1</v>
      </c>
      <c r="J7" s="41">
        <f t="shared" si="4"/>
        <v>3</v>
      </c>
      <c r="K7" s="41">
        <f t="shared" si="5"/>
        <v>6</v>
      </c>
      <c r="L7" s="39" t="s">
        <v>45</v>
      </c>
      <c r="M7" s="24">
        <f t="shared" si="10"/>
        <v>-1</v>
      </c>
      <c r="N7" s="39" t="s">
        <v>15</v>
      </c>
      <c r="O7" s="24">
        <f t="shared" si="11"/>
        <v>-1</v>
      </c>
      <c r="P7" s="39" t="s">
        <v>46</v>
      </c>
      <c r="Q7" s="24">
        <f t="shared" si="12"/>
        <v>0</v>
      </c>
      <c r="R7" s="24">
        <f t="shared" si="13"/>
        <v>1</v>
      </c>
      <c r="S7" s="24">
        <f t="shared" si="14"/>
        <v>-1</v>
      </c>
      <c r="T7" s="24">
        <f t="shared" si="15"/>
        <v>0</v>
      </c>
      <c r="U7" s="24">
        <f t="shared" si="16"/>
        <v>1</v>
      </c>
      <c r="V7" s="24">
        <f t="shared" si="17"/>
        <v>0</v>
      </c>
      <c r="W7" s="39" t="s">
        <v>47</v>
      </c>
      <c r="X7" s="24">
        <f t="shared" si="18"/>
        <v>0</v>
      </c>
      <c r="Y7" s="24">
        <f t="shared" si="19"/>
        <v>0</v>
      </c>
      <c r="Z7" s="24">
        <f t="shared" si="20"/>
        <v>0</v>
      </c>
      <c r="AA7" s="24">
        <f t="shared" si="21"/>
        <v>0</v>
      </c>
      <c r="AB7" s="24">
        <f t="shared" si="22"/>
        <v>0</v>
      </c>
      <c r="AC7" s="24">
        <f t="shared" si="23"/>
        <v>1</v>
      </c>
      <c r="AD7" s="39" t="s">
        <v>48</v>
      </c>
      <c r="AE7" s="42">
        <f t="shared" si="24"/>
        <v>83.20159303405957</v>
      </c>
      <c r="AF7" s="43" t="s">
        <v>87</v>
      </c>
      <c r="AG7" s="24">
        <f t="shared" si="25"/>
        <v>1</v>
      </c>
      <c r="AH7" s="39" t="s">
        <v>49</v>
      </c>
      <c r="AI7" s="42">
        <f t="shared" si="26"/>
        <v>25.289431061849029</v>
      </c>
      <c r="AJ7" s="43" t="s">
        <v>87</v>
      </c>
      <c r="AK7" s="24">
        <f t="shared" si="27"/>
        <v>-1</v>
      </c>
      <c r="AL7" s="39" t="s">
        <v>50</v>
      </c>
      <c r="AM7" s="42">
        <f t="shared" si="35"/>
        <v>54.956868151190619</v>
      </c>
      <c r="AN7" s="43" t="s">
        <v>87</v>
      </c>
      <c r="AO7" s="24">
        <f t="shared" si="28"/>
        <v>1</v>
      </c>
      <c r="AP7" s="44"/>
      <c r="AQ7" s="42">
        <f t="shared" si="29"/>
        <v>61.850266520291818</v>
      </c>
      <c r="AR7" s="43" t="s">
        <v>87</v>
      </c>
      <c r="AS7" s="24">
        <f t="shared" si="30"/>
        <v>0</v>
      </c>
      <c r="AT7" s="45">
        <f t="shared" si="31"/>
        <v>1</v>
      </c>
    </row>
    <row r="8" spans="1:46" ht="15.75" customHeight="1" thickTop="1" x14ac:dyDescent="0.35"/>
  </sheetData>
  <conditionalFormatting sqref="M2:M7">
    <cfRule type="cellIs" dxfId="29" priority="29" operator="lessThan">
      <formula>0</formula>
    </cfRule>
  </conditionalFormatting>
  <conditionalFormatting sqref="M2:M7">
    <cfRule type="containsText" dxfId="28" priority="30" operator="containsText" text=",">
      <formula>NOT(ISERROR(SEARCH(",",M2)))</formula>
    </cfRule>
  </conditionalFormatting>
  <conditionalFormatting sqref="M2:M7">
    <cfRule type="cellIs" dxfId="27" priority="28" operator="equal">
      <formula>0</formula>
    </cfRule>
  </conditionalFormatting>
  <conditionalFormatting sqref="O2:O7">
    <cfRule type="cellIs" dxfId="26" priority="26" operator="lessThan">
      <formula>0</formula>
    </cfRule>
  </conditionalFormatting>
  <conditionalFormatting sqref="O2:O7">
    <cfRule type="containsText" dxfId="25" priority="27" operator="containsText" text=",">
      <formula>NOT(ISERROR(SEARCH(",",O2)))</formula>
    </cfRule>
  </conditionalFormatting>
  <conditionalFormatting sqref="O2:O7">
    <cfRule type="cellIs" dxfId="24" priority="25" operator="equal">
      <formula>0</formula>
    </cfRule>
  </conditionalFormatting>
  <conditionalFormatting sqref="V2:V7">
    <cfRule type="cellIs" dxfId="23" priority="20" operator="lessThan">
      <formula>0</formula>
    </cfRule>
  </conditionalFormatting>
  <conditionalFormatting sqref="V2:V7">
    <cfRule type="containsText" dxfId="22" priority="21" operator="containsText" text=",">
      <formula>NOT(ISERROR(SEARCH(",",V2)))</formula>
    </cfRule>
  </conditionalFormatting>
  <conditionalFormatting sqref="V2:V7">
    <cfRule type="cellIs" dxfId="21" priority="19" operator="equal">
      <formula>0</formula>
    </cfRule>
  </conditionalFormatting>
  <conditionalFormatting sqref="Q2:U7">
    <cfRule type="cellIs" dxfId="20" priority="23" operator="lessThan">
      <formula>0</formula>
    </cfRule>
  </conditionalFormatting>
  <conditionalFormatting sqref="Q2:U7">
    <cfRule type="containsText" dxfId="19" priority="24" operator="containsText" text=",">
      <formula>NOT(ISERROR(SEARCH(",",Q2)))</formula>
    </cfRule>
  </conditionalFormatting>
  <conditionalFormatting sqref="Q2:U7">
    <cfRule type="cellIs" dxfId="18" priority="22" operator="equal">
      <formula>0</formula>
    </cfRule>
  </conditionalFormatting>
  <conditionalFormatting sqref="AC2:AC7">
    <cfRule type="cellIs" dxfId="17" priority="14" operator="lessThan">
      <formula>0</formula>
    </cfRule>
  </conditionalFormatting>
  <conditionalFormatting sqref="AC2:AC7">
    <cfRule type="containsText" dxfId="16" priority="15" operator="containsText" text=",">
      <formula>NOT(ISERROR(SEARCH(",",AC2)))</formula>
    </cfRule>
  </conditionalFormatting>
  <conditionalFormatting sqref="AC2:AC7">
    <cfRule type="cellIs" dxfId="15" priority="13" operator="equal">
      <formula>0</formula>
    </cfRule>
  </conditionalFormatting>
  <conditionalFormatting sqref="X2:AB7">
    <cfRule type="cellIs" dxfId="14" priority="17" operator="lessThan">
      <formula>0</formula>
    </cfRule>
  </conditionalFormatting>
  <conditionalFormatting sqref="X2:AB7">
    <cfRule type="containsText" dxfId="13" priority="18" operator="containsText" text=",">
      <formula>NOT(ISERROR(SEARCH(",",X2)))</formula>
    </cfRule>
  </conditionalFormatting>
  <conditionalFormatting sqref="X2:AB7">
    <cfRule type="cellIs" dxfId="12" priority="16" operator="equal">
      <formula>0</formula>
    </cfRule>
  </conditionalFormatting>
  <conditionalFormatting sqref="AG2:AG7">
    <cfRule type="cellIs" dxfId="11" priority="11" operator="lessThan">
      <formula>0</formula>
    </cfRule>
  </conditionalFormatting>
  <conditionalFormatting sqref="AG2:AG7">
    <cfRule type="containsText" dxfId="10" priority="12" operator="containsText" text=",">
      <formula>NOT(ISERROR(SEARCH(",",AG2)))</formula>
    </cfRule>
  </conditionalFormatting>
  <conditionalFormatting sqref="AG2:AG7">
    <cfRule type="cellIs" dxfId="9" priority="10" operator="equal">
      <formula>0</formula>
    </cfRule>
  </conditionalFormatting>
  <conditionalFormatting sqref="AK2:AK7">
    <cfRule type="cellIs" dxfId="8" priority="8" operator="lessThan">
      <formula>0</formula>
    </cfRule>
  </conditionalFormatting>
  <conditionalFormatting sqref="AK2:AK7">
    <cfRule type="containsText" dxfId="7" priority="9" operator="containsText" text=",">
      <formula>NOT(ISERROR(SEARCH(",",AK2)))</formula>
    </cfRule>
  </conditionalFormatting>
  <conditionalFormatting sqref="AK2:AK7">
    <cfRule type="cellIs" dxfId="6" priority="7" operator="equal">
      <formula>0</formula>
    </cfRule>
  </conditionalFormatting>
  <conditionalFormatting sqref="AO2:AO7">
    <cfRule type="cellIs" dxfId="5" priority="5" operator="lessThan">
      <formula>0</formula>
    </cfRule>
  </conditionalFormatting>
  <conditionalFormatting sqref="AO2:AO7">
    <cfRule type="containsText" dxfId="4" priority="6" operator="containsText" text=",">
      <formula>NOT(ISERROR(SEARCH(",",AO2)))</formula>
    </cfRule>
  </conditionalFormatting>
  <conditionalFormatting sqref="AO2:AO7">
    <cfRule type="cellIs" dxfId="3" priority="4" operator="equal">
      <formula>0</formula>
    </cfRule>
  </conditionalFormatting>
  <conditionalFormatting sqref="AS2:AS7">
    <cfRule type="cellIs" dxfId="2" priority="2" operator="lessThan">
      <formula>0</formula>
    </cfRule>
  </conditionalFormatting>
  <conditionalFormatting sqref="AS2:AS7">
    <cfRule type="containsText" dxfId="1" priority="3" operator="containsText" text=",">
      <formula>NOT(ISERROR(SEARCH(",",AS2)))</formula>
    </cfRule>
  </conditionalFormatting>
  <conditionalFormatting sqref="AS2:AS7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6F382-67C7-466A-87D7-5AC43015CD24}">
  <dimension ref="A1:M60"/>
  <sheetViews>
    <sheetView tabSelected="1" workbookViewId="0"/>
  </sheetViews>
  <sheetFormatPr defaultRowHeight="12.75" x14ac:dyDescent="0.35"/>
  <cols>
    <col min="7" max="7" width="10.06640625" customWidth="1"/>
  </cols>
  <sheetData>
    <row r="1" spans="1:11" ht="13.15" x14ac:dyDescent="0.4">
      <c r="A1" s="1" t="s">
        <v>58</v>
      </c>
      <c r="B1" s="2"/>
      <c r="C1" s="2"/>
      <c r="D1" s="2"/>
      <c r="E1" s="2"/>
      <c r="F1" s="2"/>
      <c r="G1" s="2"/>
    </row>
    <row r="2" spans="1:11" x14ac:dyDescent="0.35">
      <c r="A2" s="2"/>
      <c r="B2" s="2"/>
      <c r="C2" s="2"/>
      <c r="D2" s="2"/>
      <c r="E2" s="2"/>
      <c r="F2" s="2"/>
      <c r="G2" s="2"/>
    </row>
    <row r="3" spans="1:11" ht="13.5" thickBot="1" x14ac:dyDescent="0.45">
      <c r="A3" s="1" t="s">
        <v>51</v>
      </c>
      <c r="B3" s="2"/>
      <c r="C3" s="2"/>
      <c r="D3" s="2"/>
      <c r="E3" s="2"/>
      <c r="F3" s="2"/>
      <c r="G3" s="2"/>
    </row>
    <row r="4" spans="1:11" x14ac:dyDescent="0.35">
      <c r="A4" s="3" t="s">
        <v>52</v>
      </c>
      <c r="B4" s="4" t="s">
        <v>53</v>
      </c>
      <c r="C4" s="4" t="s">
        <v>54</v>
      </c>
      <c r="D4" s="4" t="s">
        <v>55</v>
      </c>
      <c r="E4" s="4" t="s">
        <v>56</v>
      </c>
      <c r="F4" s="5" t="s">
        <v>57</v>
      </c>
      <c r="G4" s="2"/>
    </row>
    <row r="5" spans="1:11" ht="13.15" thickBot="1" x14ac:dyDescent="0.4">
      <c r="A5" s="6">
        <v>1</v>
      </c>
      <c r="B5" s="7">
        <v>2</v>
      </c>
      <c r="C5" s="7">
        <v>3</v>
      </c>
      <c r="D5" s="7">
        <v>4</v>
      </c>
      <c r="E5" s="7">
        <v>5</v>
      </c>
      <c r="F5" s="8">
        <v>6</v>
      </c>
      <c r="G5" s="2"/>
    </row>
    <row r="6" spans="1:11" x14ac:dyDescent="0.35">
      <c r="A6" s="2"/>
      <c r="B6" s="2"/>
      <c r="C6" s="2"/>
      <c r="D6" s="2"/>
      <c r="E6" s="2"/>
      <c r="F6" s="2"/>
      <c r="G6" s="2"/>
    </row>
    <row r="7" spans="1:11" ht="14.25" x14ac:dyDescent="0.35">
      <c r="A7" s="9" t="s">
        <v>59</v>
      </c>
    </row>
    <row r="8" spans="1:11" ht="14.25" x14ac:dyDescent="0.35">
      <c r="A8" s="10" t="s">
        <v>60</v>
      </c>
    </row>
    <row r="9" spans="1:11" ht="14.25" x14ac:dyDescent="0.35">
      <c r="A9" s="11" t="s">
        <v>61</v>
      </c>
    </row>
    <row r="10" spans="1:11" ht="14.25" x14ac:dyDescent="0.35">
      <c r="A10" s="11" t="s">
        <v>62</v>
      </c>
    </row>
    <row r="11" spans="1:11" ht="14.25" x14ac:dyDescent="0.35">
      <c r="A11" s="13" t="s">
        <v>63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4.25" x14ac:dyDescent="0.35">
      <c r="A12" s="11" t="s">
        <v>64</v>
      </c>
    </row>
    <row r="13" spans="1:11" ht="14.25" x14ac:dyDescent="0.35">
      <c r="A13" s="11" t="s">
        <v>65</v>
      </c>
    </row>
    <row r="14" spans="1:11" ht="14.25" x14ac:dyDescent="0.35">
      <c r="A14" s="11" t="s">
        <v>66</v>
      </c>
    </row>
    <row r="15" spans="1:11" ht="14.25" x14ac:dyDescent="0.35">
      <c r="A15" s="12"/>
    </row>
    <row r="16" spans="1:11" ht="14.25" x14ac:dyDescent="0.35">
      <c r="A16" s="12" t="s">
        <v>5</v>
      </c>
    </row>
    <row r="17" spans="1:11" ht="14.25" x14ac:dyDescent="0.35">
      <c r="A17" s="10" t="s">
        <v>60</v>
      </c>
    </row>
    <row r="18" spans="1:11" ht="14.25" x14ac:dyDescent="0.35">
      <c r="A18" s="11" t="s">
        <v>67</v>
      </c>
    </row>
    <row r="19" spans="1:11" ht="14.25" x14ac:dyDescent="0.35">
      <c r="A19" s="11" t="s">
        <v>68</v>
      </c>
    </row>
    <row r="20" spans="1:11" ht="14.25" x14ac:dyDescent="0.35">
      <c r="A20" s="13" t="s">
        <v>69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4.25" x14ac:dyDescent="0.35">
      <c r="A21" s="11" t="s">
        <v>70</v>
      </c>
    </row>
    <row r="22" spans="1:11" ht="14.25" x14ac:dyDescent="0.35">
      <c r="A22" s="11" t="s">
        <v>71</v>
      </c>
    </row>
    <row r="23" spans="1:11" ht="14.25" x14ac:dyDescent="0.35">
      <c r="A23" s="11" t="s">
        <v>66</v>
      </c>
    </row>
    <row r="24" spans="1:11" ht="13.5" x14ac:dyDescent="0.35">
      <c r="A24" s="11"/>
    </row>
    <row r="25" spans="1:11" ht="14.25" x14ac:dyDescent="0.35">
      <c r="A25" s="12" t="s">
        <v>6</v>
      </c>
    </row>
    <row r="26" spans="1:11" ht="14.25" x14ac:dyDescent="0.35">
      <c r="A26" s="10" t="s">
        <v>72</v>
      </c>
    </row>
    <row r="27" spans="1:11" ht="14.25" x14ac:dyDescent="0.35">
      <c r="A27" s="11" t="s">
        <v>73</v>
      </c>
    </row>
    <row r="28" spans="1:11" ht="14.25" x14ac:dyDescent="0.35">
      <c r="A28" s="13" t="s">
        <v>74</v>
      </c>
      <c r="B28" s="14"/>
      <c r="C28" s="14"/>
      <c r="D28" s="14"/>
      <c r="E28" s="14"/>
    </row>
    <row r="29" spans="1:11" ht="14.25" x14ac:dyDescent="0.35">
      <c r="A29" s="11" t="s">
        <v>75</v>
      </c>
    </row>
    <row r="30" spans="1:11" ht="14.25" x14ac:dyDescent="0.35">
      <c r="A30" s="11" t="s">
        <v>76</v>
      </c>
    </row>
    <row r="31" spans="1:11" ht="14.25" x14ac:dyDescent="0.35">
      <c r="A31" s="13" t="s">
        <v>77</v>
      </c>
      <c r="B31" s="14"/>
      <c r="C31" s="14"/>
      <c r="D31" s="14"/>
      <c r="E31" s="14"/>
    </row>
    <row r="32" spans="1:11" ht="14.25" x14ac:dyDescent="0.35">
      <c r="A32" s="13" t="s">
        <v>78</v>
      </c>
      <c r="B32" s="14"/>
      <c r="C32" s="14"/>
      <c r="D32" s="14"/>
      <c r="E32" s="14"/>
    </row>
    <row r="33" spans="1:13" ht="13.5" x14ac:dyDescent="0.35">
      <c r="A33" s="11"/>
    </row>
    <row r="34" spans="1:13" ht="14.25" x14ac:dyDescent="0.35">
      <c r="A34" s="12" t="s">
        <v>7</v>
      </c>
    </row>
    <row r="35" spans="1:13" ht="14.25" x14ac:dyDescent="0.35">
      <c r="A35" s="10" t="s">
        <v>72</v>
      </c>
    </row>
    <row r="36" spans="1:13" ht="14.25" x14ac:dyDescent="0.35">
      <c r="A36" s="11" t="s">
        <v>79</v>
      </c>
    </row>
    <row r="37" spans="1:13" ht="14.25" x14ac:dyDescent="0.35">
      <c r="A37" s="13" t="s">
        <v>80</v>
      </c>
      <c r="B37" s="14"/>
      <c r="C37" s="14"/>
      <c r="D37" s="14"/>
      <c r="E37" s="14"/>
    </row>
    <row r="38" spans="1:13" ht="14.25" x14ac:dyDescent="0.35">
      <c r="A38" s="13" t="s">
        <v>81</v>
      </c>
      <c r="B38" s="14"/>
      <c r="C38" s="14"/>
      <c r="D38" s="14"/>
      <c r="E38" s="14"/>
    </row>
    <row r="39" spans="1:13" ht="14.25" x14ac:dyDescent="0.35">
      <c r="A39" s="11" t="s">
        <v>82</v>
      </c>
    </row>
    <row r="40" spans="1:13" ht="14.25" x14ac:dyDescent="0.35">
      <c r="A40" s="11" t="s">
        <v>83</v>
      </c>
    </row>
    <row r="41" spans="1:13" ht="14.25" x14ac:dyDescent="0.35">
      <c r="A41" s="13" t="s">
        <v>84</v>
      </c>
      <c r="B41" s="14"/>
      <c r="C41" s="14"/>
      <c r="D41" s="14"/>
      <c r="E41" s="14"/>
    </row>
    <row r="42" spans="1:13" ht="13.5" x14ac:dyDescent="0.35">
      <c r="A42" s="11"/>
    </row>
    <row r="43" spans="1:13" ht="34.5" customHeight="1" x14ac:dyDescent="0.35">
      <c r="A43" s="15" t="s">
        <v>8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</row>
    <row r="44" spans="1:13" ht="14.65" thickBot="1" x14ac:dyDescent="0.4">
      <c r="A44" s="10" t="s">
        <v>85</v>
      </c>
      <c r="E44" s="17" t="s">
        <v>86</v>
      </c>
      <c r="F44">
        <f>80+F5</f>
        <v>86</v>
      </c>
      <c r="G44" s="17" t="s">
        <v>87</v>
      </c>
      <c r="H44" s="17" t="s">
        <v>88</v>
      </c>
      <c r="I44">
        <f>0.4+E5/40</f>
        <v>0.52500000000000002</v>
      </c>
    </row>
    <row r="45" spans="1:13" ht="14.65" thickBot="1" x14ac:dyDescent="0.45">
      <c r="A45" s="10"/>
      <c r="E45" s="18" t="s">
        <v>98</v>
      </c>
      <c r="H45" s="19">
        <f>Li_inc+10*LOG10(1-alfa)</f>
        <v>82.766936096248671</v>
      </c>
      <c r="I45" s="20" t="s">
        <v>87</v>
      </c>
    </row>
    <row r="46" spans="1:13" ht="14.25" x14ac:dyDescent="0.35">
      <c r="A46" s="10"/>
    </row>
    <row r="47" spans="1:13" ht="45.4" customHeight="1" x14ac:dyDescent="0.35">
      <c r="A47" s="15" t="s">
        <v>9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</row>
    <row r="48" spans="1:13" ht="14.25" x14ac:dyDescent="0.35">
      <c r="A48" s="10" t="s">
        <v>85</v>
      </c>
      <c r="E48" s="17" t="s">
        <v>86</v>
      </c>
      <c r="F48">
        <f>80+F5</f>
        <v>86</v>
      </c>
      <c r="G48" s="17" t="s">
        <v>87</v>
      </c>
      <c r="H48" s="17" t="s">
        <v>89</v>
      </c>
      <c r="I48">
        <f>2000+E5*50</f>
        <v>2250</v>
      </c>
      <c r="J48" s="17" t="s">
        <v>90</v>
      </c>
      <c r="K48" s="17" t="s">
        <v>91</v>
      </c>
      <c r="L48">
        <f>(10+F5)/100</f>
        <v>0.16</v>
      </c>
      <c r="M48" s="17" t="s">
        <v>92</v>
      </c>
    </row>
    <row r="49" spans="1:13" ht="14.25" x14ac:dyDescent="0.35">
      <c r="A49" s="10"/>
      <c r="E49" s="17" t="s">
        <v>93</v>
      </c>
      <c r="G49">
        <f>rho*t</f>
        <v>360</v>
      </c>
      <c r="H49" s="17" t="s">
        <v>94</v>
      </c>
      <c r="K49" s="17" t="s">
        <v>95</v>
      </c>
      <c r="L49">
        <f>400+D5*100</f>
        <v>800</v>
      </c>
      <c r="M49" s="17" t="s">
        <v>96</v>
      </c>
    </row>
    <row r="50" spans="1:13" ht="14.65" thickBot="1" x14ac:dyDescent="0.4">
      <c r="A50" s="10"/>
      <c r="E50" s="17" t="s">
        <v>97</v>
      </c>
      <c r="H50">
        <f>20*LOG10(sigma*f)-44</f>
        <v>65.187849755184615</v>
      </c>
      <c r="I50" t="s">
        <v>87</v>
      </c>
    </row>
    <row r="51" spans="1:13" ht="14.65" thickBot="1" x14ac:dyDescent="0.45">
      <c r="A51" s="10"/>
      <c r="E51" s="18" t="s">
        <v>109</v>
      </c>
      <c r="H51" s="19">
        <f>Li_inc-RR</f>
        <v>20.812150244815385</v>
      </c>
      <c r="I51" s="20" t="s">
        <v>87</v>
      </c>
    </row>
    <row r="52" spans="1:13" ht="14.25" x14ac:dyDescent="0.35">
      <c r="A52" s="12"/>
    </row>
    <row r="53" spans="1:13" ht="43.5" customHeight="1" x14ac:dyDescent="0.35">
      <c r="A53" s="15" t="s">
        <v>10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3" ht="14.25" x14ac:dyDescent="0.35">
      <c r="A54" s="10" t="s">
        <v>85</v>
      </c>
      <c r="E54" t="s">
        <v>99</v>
      </c>
      <c r="F54">
        <f>80+F5</f>
        <v>86</v>
      </c>
      <c r="G54" t="s">
        <v>87</v>
      </c>
      <c r="H54" t="s">
        <v>100</v>
      </c>
      <c r="I54">
        <f>30+E5</f>
        <v>35</v>
      </c>
      <c r="J54" t="s">
        <v>87</v>
      </c>
    </row>
    <row r="55" spans="1:13" ht="14.65" thickBot="1" x14ac:dyDescent="0.4">
      <c r="A55" s="10"/>
      <c r="E55" t="s">
        <v>101</v>
      </c>
      <c r="F55">
        <f>10+D5/5</f>
        <v>10.8</v>
      </c>
      <c r="G55" t="s">
        <v>102</v>
      </c>
      <c r="H55" t="s">
        <v>103</v>
      </c>
      <c r="I55">
        <f>5+E5/2</f>
        <v>7.5</v>
      </c>
      <c r="J55" t="s">
        <v>102</v>
      </c>
    </row>
    <row r="56" spans="1:13" ht="14.65" thickBot="1" x14ac:dyDescent="0.45">
      <c r="A56" s="10"/>
      <c r="E56" s="18" t="s">
        <v>104</v>
      </c>
      <c r="H56" s="19">
        <f>L_1-L_2+10*LOG10(S/A)</f>
        <v>52.583624920952495</v>
      </c>
      <c r="I56" s="20" t="s">
        <v>87</v>
      </c>
    </row>
    <row r="57" spans="1:13" ht="14.25" x14ac:dyDescent="0.35">
      <c r="A57" s="12"/>
    </row>
    <row r="58" spans="1:13" ht="33.75" customHeight="1" x14ac:dyDescent="0.35">
      <c r="A58" s="15" t="s">
        <v>11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1:13" ht="14.65" thickBot="1" x14ac:dyDescent="0.4">
      <c r="A59" s="10" t="s">
        <v>85</v>
      </c>
      <c r="E59" s="17" t="s">
        <v>105</v>
      </c>
      <c r="F59">
        <f>60+F5</f>
        <v>66</v>
      </c>
      <c r="G59" s="17" t="s">
        <v>87</v>
      </c>
      <c r="H59" s="17" t="s">
        <v>107</v>
      </c>
      <c r="I59">
        <f>1+E5/10</f>
        <v>1.5</v>
      </c>
      <c r="J59" s="17" t="s">
        <v>106</v>
      </c>
    </row>
    <row r="60" spans="1:13" ht="13.5" thickBot="1" x14ac:dyDescent="0.45">
      <c r="E60" s="18" t="s">
        <v>108</v>
      </c>
      <c r="H60" s="19">
        <f>SPL-10*LOG10(RT/0.5)</f>
        <v>61.228787452803374</v>
      </c>
      <c r="I60" s="20" t="s">
        <v>87</v>
      </c>
    </row>
  </sheetData>
  <mergeCells count="4">
    <mergeCell ref="A43:L43"/>
    <mergeCell ref="A47:L47"/>
    <mergeCell ref="A53:L53"/>
    <mergeCell ref="A58:L5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Form responses 1</vt:lpstr>
      <vt:lpstr>Solution</vt:lpstr>
      <vt:lpstr>A</vt:lpstr>
      <vt:lpstr>alfa</vt:lpstr>
      <vt:lpstr>f</vt:lpstr>
      <vt:lpstr>L_1</vt:lpstr>
      <vt:lpstr>L_2</vt:lpstr>
      <vt:lpstr>Li_inc</vt:lpstr>
      <vt:lpstr>rho</vt:lpstr>
      <vt:lpstr>RR</vt:lpstr>
      <vt:lpstr>RT</vt:lpstr>
      <vt:lpstr>S</vt:lpstr>
      <vt:lpstr>sigma</vt:lpstr>
      <vt:lpstr>SPL</vt:lpstr>
      <vt:lpstr>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Angelo Farina</cp:lastModifiedBy>
  <dcterms:created xsi:type="dcterms:W3CDTF">2020-11-03T09:17:43Z</dcterms:created>
  <dcterms:modified xsi:type="dcterms:W3CDTF">2020-11-03T16:33:29Z</dcterms:modified>
</cp:coreProperties>
</file>