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mc:AlternateContent xmlns:mc="http://schemas.openxmlformats.org/markup-compatibility/2006">
    <mc:Choice Requires="x15">
      <x15ac:absPath xmlns:x15ac="http://schemas.microsoft.com/office/spreadsheetml/2010/11/ac" url="C:\Users\Farina\Corsi\Applied-Acoustics\Tests-2020\"/>
    </mc:Choice>
  </mc:AlternateContent>
  <xr:revisionPtr revIDLastSave="0" documentId="13_ncr:1_{DCAD8DAB-0CEF-46D5-9168-44908DB180C8}" xr6:coauthVersionLast="45" xr6:coauthVersionMax="45" xr10:uidLastSave="{00000000-0000-0000-0000-000000000000}"/>
  <bookViews>
    <workbookView xWindow="840" yWindow="-98" windowWidth="22298" windowHeight="14595" xr2:uid="{00000000-000D-0000-FFFF-FFFF00000000}"/>
  </bookViews>
  <sheets>
    <sheet name="Form responses 1" sheetId="1" r:id="rId1"/>
    <sheet name="Solution" sheetId="2" r:id="rId2"/>
  </sheets>
  <definedNames>
    <definedName name="A">Solution!$A$5</definedName>
    <definedName name="B">Solution!$B$5</definedName>
    <definedName name="CC">Solution!$C$5</definedName>
    <definedName name="CR">Solution!$I$49</definedName>
    <definedName name="D">Solution!$D$5</definedName>
    <definedName name="d_1">Solution!$F$44</definedName>
    <definedName name="d_2">Solution!$F$45</definedName>
    <definedName name="delta">Solution!$F$50</definedName>
    <definedName name="E">Solution!$E$5</definedName>
    <definedName name="F">Solution!$F$5</definedName>
    <definedName name="ff">Solution!$I$57</definedName>
    <definedName name="freq">Solution!$I$48</definedName>
    <definedName name="h_eff">Solution!$F$48</definedName>
    <definedName name="N">Solution!$I$50</definedName>
    <definedName name="NN">Solution!$I$59</definedName>
    <definedName name="SC">Solution!$F$49</definedName>
    <definedName name="SPL_1">Solution!$I$44</definedName>
    <definedName name="SR">Solution!$L$49</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3" i="1" l="1"/>
  <c r="AT4" i="1"/>
  <c r="AT5" i="1"/>
  <c r="AT6" i="1"/>
  <c r="AT7" i="1"/>
  <c r="AT8" i="1"/>
  <c r="AT2" i="1"/>
  <c r="AQ3" i="1"/>
  <c r="AS3" i="1"/>
  <c r="AQ4" i="1"/>
  <c r="AS4" i="1"/>
  <c r="AQ5" i="1"/>
  <c r="AS5" i="1"/>
  <c r="AQ6" i="1"/>
  <c r="AS6" i="1"/>
  <c r="AQ7" i="1"/>
  <c r="AS7" i="1"/>
  <c r="AQ8" i="1"/>
  <c r="AS8" i="1"/>
  <c r="AQ2" i="1"/>
  <c r="AS2" i="1"/>
  <c r="AI3" i="1"/>
  <c r="AK3" i="1"/>
  <c r="AI4" i="1"/>
  <c r="AK4" i="1"/>
  <c r="AI5" i="1"/>
  <c r="AK5" i="1"/>
  <c r="AI6" i="1"/>
  <c r="AK6" i="1"/>
  <c r="AI7" i="1"/>
  <c r="AK7" i="1"/>
  <c r="AI8" i="1"/>
  <c r="AK8" i="1"/>
  <c r="AI2" i="1"/>
  <c r="AK2" i="1"/>
  <c r="AM3" i="1"/>
  <c r="AO3" i="1"/>
  <c r="AM4" i="1"/>
  <c r="AO4" i="1"/>
  <c r="AM5" i="1"/>
  <c r="AO5" i="1"/>
  <c r="AM6" i="1"/>
  <c r="AO6" i="1"/>
  <c r="AM7" i="1"/>
  <c r="AO7" i="1"/>
  <c r="AM8" i="1"/>
  <c r="AO8" i="1"/>
  <c r="AM2" i="1"/>
  <c r="AO2" i="1"/>
  <c r="AE3" i="1"/>
  <c r="AE4" i="1"/>
  <c r="AE5" i="1"/>
  <c r="AE6" i="1"/>
  <c r="AE7" i="1"/>
  <c r="AE8" i="1"/>
  <c r="AE2" i="1"/>
  <c r="AG3" i="1"/>
  <c r="AG4" i="1"/>
  <c r="AG5" i="1"/>
  <c r="AG6" i="1"/>
  <c r="AG7" i="1"/>
  <c r="AG2" i="1"/>
  <c r="X3" i="1"/>
  <c r="Y3" i="1"/>
  <c r="Z3" i="1"/>
  <c r="AA3" i="1"/>
  <c r="AB3" i="1"/>
  <c r="AC3" i="1"/>
  <c r="X4" i="1"/>
  <c r="Y4" i="1"/>
  <c r="Z4" i="1"/>
  <c r="AA4" i="1"/>
  <c r="AB4" i="1"/>
  <c r="AC4" i="1"/>
  <c r="X5" i="1"/>
  <c r="Y5" i="1"/>
  <c r="Z5" i="1"/>
  <c r="AA5" i="1"/>
  <c r="AB5" i="1"/>
  <c r="AC5" i="1"/>
  <c r="X6" i="1"/>
  <c r="Y6" i="1"/>
  <c r="Z6" i="1"/>
  <c r="AA6" i="1"/>
  <c r="AB6" i="1"/>
  <c r="AC6" i="1"/>
  <c r="X7" i="1"/>
  <c r="Y7" i="1"/>
  <c r="Z7" i="1"/>
  <c r="AA7" i="1"/>
  <c r="AB7" i="1"/>
  <c r="AC7" i="1"/>
  <c r="X8" i="1"/>
  <c r="Y8" i="1"/>
  <c r="Z8" i="1"/>
  <c r="AA8" i="1"/>
  <c r="AB8" i="1"/>
  <c r="AC8" i="1"/>
  <c r="AC2" i="1"/>
  <c r="AB2" i="1"/>
  <c r="AA2" i="1"/>
  <c r="Z2" i="1"/>
  <c r="Y2" i="1"/>
  <c r="X2" i="1"/>
  <c r="Q3" i="1"/>
  <c r="R3" i="1"/>
  <c r="S3" i="1"/>
  <c r="T3" i="1"/>
  <c r="U3" i="1"/>
  <c r="V3" i="1"/>
  <c r="Q4" i="1"/>
  <c r="R4" i="1"/>
  <c r="S4" i="1"/>
  <c r="T4" i="1"/>
  <c r="U4" i="1"/>
  <c r="V4" i="1"/>
  <c r="Q5" i="1"/>
  <c r="R5" i="1"/>
  <c r="S5" i="1"/>
  <c r="T5" i="1"/>
  <c r="U5" i="1"/>
  <c r="V5" i="1"/>
  <c r="Q6" i="1"/>
  <c r="R6" i="1"/>
  <c r="S6" i="1"/>
  <c r="T6" i="1"/>
  <c r="U6" i="1"/>
  <c r="V6" i="1"/>
  <c r="Q7" i="1"/>
  <c r="R7" i="1"/>
  <c r="S7" i="1"/>
  <c r="T7" i="1"/>
  <c r="U7" i="1"/>
  <c r="V7" i="1"/>
  <c r="Q8" i="1"/>
  <c r="R8" i="1"/>
  <c r="S8" i="1"/>
  <c r="T8" i="1"/>
  <c r="U8" i="1"/>
  <c r="V8" i="1"/>
  <c r="V2" i="1"/>
  <c r="U2" i="1"/>
  <c r="T2" i="1"/>
  <c r="S2" i="1"/>
  <c r="R2" i="1"/>
  <c r="Q2" i="1"/>
  <c r="O3" i="1"/>
  <c r="O4" i="1"/>
  <c r="O5" i="1"/>
  <c r="O6" i="1"/>
  <c r="O8" i="1"/>
  <c r="O2" i="1"/>
  <c r="M3" i="1"/>
  <c r="M4" i="1"/>
  <c r="M5" i="1"/>
  <c r="M6" i="1"/>
  <c r="M7" i="1"/>
  <c r="M8" i="1"/>
  <c r="M2" i="1"/>
  <c r="F3" i="1" l="1"/>
  <c r="G3" i="1" s="1"/>
  <c r="F4" i="1"/>
  <c r="G4" i="1"/>
  <c r="F5" i="1"/>
  <c r="G5" i="1"/>
  <c r="H5" i="1" s="1"/>
  <c r="F6" i="1"/>
  <c r="G6" i="1" s="1"/>
  <c r="F7" i="1"/>
  <c r="G7" i="1" s="1"/>
  <c r="F8" i="1"/>
  <c r="H8" i="1" s="1"/>
  <c r="G8" i="1"/>
  <c r="F2" i="1"/>
  <c r="H7" i="1" l="1"/>
  <c r="J7" i="1" s="1"/>
  <c r="I7" i="1"/>
  <c r="K7" i="1" s="1"/>
  <c r="I5" i="1"/>
  <c r="J5" i="1" s="1"/>
  <c r="H4" i="1"/>
  <c r="H6" i="1"/>
  <c r="H3" i="1"/>
  <c r="I3" i="1" s="1"/>
  <c r="I8" i="1"/>
  <c r="G2" i="1"/>
  <c r="H2" i="1"/>
  <c r="J3" i="1" l="1"/>
  <c r="K3" i="1"/>
  <c r="I6" i="1"/>
  <c r="J6" i="1" s="1"/>
  <c r="I4" i="1"/>
  <c r="J4" i="1" s="1"/>
  <c r="K5" i="1"/>
  <c r="J8" i="1"/>
  <c r="K8" i="1" s="1"/>
  <c r="I2" i="1"/>
  <c r="J2" i="1" s="1"/>
  <c r="K6" i="1" l="1"/>
  <c r="K4" i="1"/>
  <c r="K2" i="1"/>
  <c r="L59" i="2" l="1" a="1"/>
  <c r="L59" i="2" s="1"/>
  <c r="I59" i="2"/>
  <c r="I57" i="2"/>
  <c r="F59" i="2"/>
  <c r="L58" i="2"/>
  <c r="I58" i="2"/>
  <c r="F58" i="2"/>
  <c r="F57" i="2"/>
  <c r="L50" i="2" a="1"/>
  <c r="L50" i="2" s="1"/>
  <c r="I48" i="2"/>
  <c r="F48" i="2"/>
  <c r="F54" i="2"/>
  <c r="I53" i="2"/>
  <c r="F53" i="2"/>
  <c r="F45" i="2"/>
  <c r="L49" i="2" s="1"/>
  <c r="I44" i="2"/>
  <c r="I45" i="2" s="1"/>
  <c r="F44" i="2"/>
  <c r="F49" i="2" s="1"/>
  <c r="I49" i="2" l="1"/>
  <c r="F50" i="2" s="1"/>
  <c r="I50" i="2" s="1"/>
  <c r="I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<sst xmlns="http://schemas.openxmlformats.org/spreadsheetml/2006/main" count="215" uniqueCount="108">
  <si>
    <t>Timestamp</t>
  </si>
  <si>
    <t>Email address</t>
  </si>
  <si>
    <t>Surname and Name</t>
  </si>
  <si>
    <t>Matricula</t>
  </si>
  <si>
    <t>1) Why the formula for converting a physical quantity in dB has an initial factor of 10 in some cases, and an initial factor of 20 in some other cases? For example: Lp=20*log10(p/p0) and Li = 10*log10(I/I0).</t>
  </si>
  <si>
    <t>2) What's the reason for employing an A-weighting filter when measuring the SPL?</t>
  </si>
  <si>
    <t>3) Select only the correct statements:</t>
  </si>
  <si>
    <t>4) Which kind of signal is generated by a standard microphone calibrator?</t>
  </si>
  <si>
    <t>5) An omnidirectional point source is located outdoors, placed over a sound absorbing floor. Measurements are made at a distance of 10+F m, and the resulting SPL is Lp1=80+E dB(A). Estimate the sound pressure level Lp2 which would be measured at a distance of 30+D m from the sound source.</t>
  </si>
  <si>
    <t>6) A long barrier is placed at the distance of the first measurement point of previous exercise. It has an effective height of 2+F/4 m. Compute the SPL reduction ΔL at the second measurement point, assuming that the frequency is 300+E*10 Hz.</t>
  </si>
  <si>
    <t>7) An infinitely long line source is located outdoors, placed over a sound absorbing floor. Measurements are made at a distance of 10+F m, and the resulting average SPL is Lp1=80+E dB(A). Estimate the sound pressure level Lp2 which would be measured at a distance of 30+D m from the sound source.</t>
  </si>
  <si>
    <t>8) A long barrier is placed at the distance of the first measurement point of previous exercise. It has an effective height of 2+F/4 m. Compute the SPL reduction ΔL at the second measurement point, assuming that the frequency is 1000+E*100 Hz.</t>
  </si>
  <si>
    <t>alessio.pedrona@studenti.unipr.it</t>
  </si>
  <si>
    <t>Pedrona Alessio</t>
  </si>
  <si>
    <t>Because the decibel scale in an energetic scale, and field quantities such as p and v must be squared for becoming proportional to potential and kinetic energy, respectively</t>
  </si>
  <si>
    <t>For measuring values which are more significant for describing the human perception than what would be measured without any weighting</t>
  </si>
  <si>
    <t>The sound radiated by a point source creates spherical waves, In a spherical wave the SPL diminishes by 6 dB at each doubling of the distance from the source, In a cylindrical wave the SPL diminishes by 3 dB at each doubling of the distance from the source</t>
  </si>
  <si>
    <t>A sound pressure having an RMS value of 1.0 Pa at 1 kHz, A sound pressure level of 94 dB, A sound pressure level of 94 dB(A), A sound pressure level of 94 dB(C)</t>
  </si>
  <si>
    <t>82.2 dB(A)</t>
  </si>
  <si>
    <t>16.6 dB</t>
  </si>
  <si>
    <t>85.1 dB(A)</t>
  </si>
  <si>
    <t>17.6 dB</t>
  </si>
  <si>
    <t>reinhardt.rading@studenti.unipr.it</t>
  </si>
  <si>
    <t>Reinhardt Rading</t>
  </si>
  <si>
    <t>A sound pressure having an RMS value of 1.0 Pa at 1 kHz, A sound pressure level of 94 dB, A sound pressure level of 94 dB(C)</t>
  </si>
  <si>
    <t>massimiliano.neri@studenti.unipr.it</t>
  </si>
  <si>
    <t>Neri Massimiliano</t>
  </si>
  <si>
    <t>72.5 dB(A)</t>
  </si>
  <si>
    <t>59.4 dB(A)</t>
  </si>
  <si>
    <t>76.2 dB(A)</t>
  </si>
  <si>
    <t>63.6 dB(A)</t>
  </si>
  <si>
    <t>abdelwakil.nasrallah@studenti.unipr.it</t>
  </si>
  <si>
    <t>Nasr Allah Abdelwakil</t>
  </si>
  <si>
    <t>74.1 dB(A)</t>
  </si>
  <si>
    <t>michael.petrolini@studenti.unipr.it</t>
  </si>
  <si>
    <t>Petrolini Michael</t>
  </si>
  <si>
    <t>79.0 dB(A)</t>
  </si>
  <si>
    <t>15.0 dB</t>
  </si>
  <si>
    <t>82.5 dB(A)</t>
  </si>
  <si>
    <t>15.7 dB</t>
  </si>
  <si>
    <t>jaspreet.pal@studenti.unipr.it</t>
  </si>
  <si>
    <t>PAL JASPREET</t>
  </si>
  <si>
    <t>I do not know (no answer)</t>
  </si>
  <si>
    <t>75.9 dB(A)</t>
  </si>
  <si>
    <t>74.58 dB(A)</t>
  </si>
  <si>
    <t>80.94 dB(A)</t>
  </si>
  <si>
    <t>10181611@guest.unipr.it</t>
  </si>
  <si>
    <t xml:space="preserve">Khurshid Omama </t>
  </si>
  <si>
    <t>C</t>
  </si>
  <si>
    <t>Because the decibel scale uses base-10 logarithms, which are not correct for field quantities such as sound pressure p, which should employ base-2 logarithms</t>
  </si>
  <si>
    <t>The sound radiated by a line source creates spherical waves</t>
  </si>
  <si>
    <t>A sound pressure level of 94 dB(C)</t>
  </si>
  <si>
    <t xml:space="preserve">Indoor noise is mainlycaused byroad and railwaytraffic, especiallyin summer time due to open windows. The presence of absorbent ceilings can help to reduce reverberating noise and the global mean acoustic level. The aim of this work is to define an index to evaluate the indoor noise reduction index (NRI) with open window; it is a function of the acoustic absorption coefficient of the room ceiling. It is evaluated bymeasurements in two reverberating rooms, which simulate the real conditions. </t>
  </si>
  <si>
    <t>Test 1 - 6/10/2020 - Applied Acoustics</t>
  </si>
  <si>
    <t>MATRICULA</t>
  </si>
  <si>
    <t>A</t>
  </si>
  <si>
    <t>B</t>
  </si>
  <si>
    <t>D</t>
  </si>
  <si>
    <t>E</t>
  </si>
  <si>
    <t>F</t>
  </si>
  <si>
    <t>one answer only: 1 point if correct, -1 point if wrong, 0 point if "no answer"</t>
  </si>
  <si>
    <r>
      <t>¡</t>
    </r>
    <r>
      <rPr>
        <sz val="7"/>
        <color rgb="FF000000"/>
        <rFont val="Times New Roman"/>
        <family val="1"/>
      </rPr>
      <t xml:space="preserve">  </t>
    </r>
    <r>
      <rPr>
        <sz val="11"/>
        <color rgb="FF000000"/>
        <rFont val="Calibri"/>
        <family val="2"/>
      </rPr>
      <t>Because the decibel scale uses base-10 logarithms, which are not correct for field quantities such as sound pressure p, which should employ base-2 logarithms</t>
    </r>
  </si>
  <si>
    <r>
      <t>¡</t>
    </r>
    <r>
      <rPr>
        <sz val="7"/>
        <color rgb="FF000000"/>
        <rFont val="Times New Roman"/>
        <family val="1"/>
      </rPr>
      <t xml:space="preserve">  </t>
    </r>
    <r>
      <rPr>
        <sz val="11"/>
        <color rgb="FF000000"/>
        <rFont val="Calibri"/>
        <family val="2"/>
      </rPr>
      <t>Because the decibel scale in an energetic scale, and field quantities such as p and v must be squared for becoming proportional to potential and kinetic energy, respectively</t>
    </r>
  </si>
  <si>
    <r>
      <t>¡</t>
    </r>
    <r>
      <rPr>
        <sz val="7"/>
        <color rgb="FF000000"/>
        <rFont val="Times New Roman"/>
        <family val="1"/>
      </rPr>
      <t xml:space="preserve">  </t>
    </r>
    <r>
      <rPr>
        <sz val="11"/>
        <color rgb="FF000000"/>
        <rFont val="Calibri"/>
        <family val="2"/>
      </rPr>
      <t>Because the decibel is a sub-multiple of the bel (actually 1/10 of a bel)</t>
    </r>
  </si>
  <si>
    <r>
      <t>¡</t>
    </r>
    <r>
      <rPr>
        <sz val="7"/>
        <color rgb="FF000000"/>
        <rFont val="Times New Roman"/>
        <family val="1"/>
      </rPr>
      <t xml:space="preserve">  </t>
    </r>
    <r>
      <rPr>
        <sz val="11"/>
        <color rgb="FF000000"/>
        <rFont val="Calibri"/>
        <family val="2"/>
      </rPr>
      <t>It is just matter of tradition, the decibel scale has no physical meaning, and is deprecated. The correct scale should employ Nepers, not decibels.</t>
    </r>
  </si>
  <si>
    <r>
      <t>¡</t>
    </r>
    <r>
      <rPr>
        <sz val="7"/>
        <color rgb="FF000000"/>
        <rFont val="Times New Roman"/>
        <family val="1"/>
      </rPr>
      <t xml:space="preserve">  </t>
    </r>
    <r>
      <rPr>
        <sz val="11"/>
        <color rgb="FF000000"/>
        <rFont val="Calibri"/>
        <family val="2"/>
      </rPr>
      <t>We use a factor of 10 for field quantities and a factor of 20 for energetic quantities</t>
    </r>
  </si>
  <si>
    <r>
      <t>¡</t>
    </r>
    <r>
      <rPr>
        <sz val="7"/>
        <color rgb="FF000000"/>
        <rFont val="Times New Roman"/>
        <family val="1"/>
      </rPr>
      <t xml:space="preserve">  </t>
    </r>
    <r>
      <rPr>
        <sz val="11"/>
        <color rgb="FF000000"/>
        <rFont val="Calibri"/>
        <family val="2"/>
      </rPr>
      <t>I do not know (no answer)</t>
    </r>
  </si>
  <si>
    <r>
      <t>¡</t>
    </r>
    <r>
      <rPr>
        <sz val="7"/>
        <color rgb="FF000000"/>
        <rFont val="Times New Roman"/>
        <family val="1"/>
      </rPr>
      <t xml:space="preserve">  </t>
    </r>
    <r>
      <rPr>
        <sz val="11"/>
        <color rgb="FF000000"/>
        <rFont val="Calibri"/>
        <family val="2"/>
      </rPr>
      <t>For removing unwanted low-frequency noise (wind on the microphone, etc.)</t>
    </r>
  </si>
  <si>
    <r>
      <t>¡</t>
    </r>
    <r>
      <rPr>
        <sz val="7"/>
        <color rgb="FF000000"/>
        <rFont val="Times New Roman"/>
        <family val="1"/>
      </rPr>
      <t xml:space="preserve">  </t>
    </r>
    <r>
      <rPr>
        <sz val="11"/>
        <color rgb="FF000000"/>
        <rFont val="Calibri"/>
        <family val="2"/>
      </rPr>
      <t>For increasing the signal-to-noise ratio</t>
    </r>
  </si>
  <si>
    <r>
      <t>¡</t>
    </r>
    <r>
      <rPr>
        <sz val="7"/>
        <color rgb="FF000000"/>
        <rFont val="Times New Roman"/>
        <family val="1"/>
      </rPr>
      <t xml:space="preserve">  </t>
    </r>
    <r>
      <rPr>
        <sz val="11"/>
        <color rgb="FF000000"/>
        <rFont val="Calibri"/>
        <family val="2"/>
      </rPr>
      <t>For measuring values which are more significant for describing the human perception than what would be measured without any weighting</t>
    </r>
  </si>
  <si>
    <r>
      <t>¡</t>
    </r>
    <r>
      <rPr>
        <sz val="7"/>
        <color rgb="FF000000"/>
        <rFont val="Times New Roman"/>
        <family val="1"/>
      </rPr>
      <t xml:space="preserve">  </t>
    </r>
    <r>
      <rPr>
        <sz val="11"/>
        <color rgb="FF000000"/>
        <rFont val="Calibri"/>
        <family val="2"/>
      </rPr>
      <t>For complying to laws and regulations which mandate the usage of A-weighting even in cases where other weighting curves would be more significant for emulating the human perception</t>
    </r>
  </si>
  <si>
    <r>
      <t>¡</t>
    </r>
    <r>
      <rPr>
        <sz val="7"/>
        <color rgb="FF000000"/>
        <rFont val="Times New Roman"/>
        <family val="1"/>
      </rPr>
      <t xml:space="preserve">  </t>
    </r>
    <r>
      <rPr>
        <sz val="11"/>
        <color rgb="FF000000"/>
        <rFont val="Calibri"/>
        <family val="2"/>
      </rPr>
      <t>Nowadays A-weighting is considered obsolete and no one is employing such an old filter anymore</t>
    </r>
  </si>
  <si>
    <t>multiple answers allowed: for each answer, 1 point if correct, -1 point if wrong, 0 point if "not selected"</t>
  </si>
  <si>
    <r>
      <t>¨</t>
    </r>
    <r>
      <rPr>
        <sz val="7"/>
        <color rgb="FF000000"/>
        <rFont val="Times New Roman"/>
        <family val="1"/>
      </rPr>
      <t xml:space="preserve">  </t>
    </r>
    <r>
      <rPr>
        <sz val="11"/>
        <color rgb="FF000000"/>
        <rFont val="Calibri"/>
        <family val="2"/>
      </rPr>
      <t>The sound radiated by a point source creates spherical waves</t>
    </r>
  </si>
  <si>
    <r>
      <t>¨</t>
    </r>
    <r>
      <rPr>
        <sz val="7"/>
        <color rgb="FF000000"/>
        <rFont val="Times New Roman"/>
        <family val="1"/>
      </rPr>
      <t xml:space="preserve">  </t>
    </r>
    <r>
      <rPr>
        <sz val="11"/>
        <color rgb="FF000000"/>
        <rFont val="Calibri"/>
        <family val="2"/>
      </rPr>
      <t>The sound radiated by a line source creates spherical waves</t>
    </r>
  </si>
  <si>
    <r>
      <t>¨</t>
    </r>
    <r>
      <rPr>
        <sz val="7"/>
        <color rgb="FF000000"/>
        <rFont val="Times New Roman"/>
        <family val="1"/>
      </rPr>
      <t xml:space="preserve">  </t>
    </r>
    <r>
      <rPr>
        <sz val="11"/>
        <color rgb="FF000000"/>
        <rFont val="Calibri"/>
        <family val="2"/>
      </rPr>
      <t>In a spherical wave the SPL diminishes by 6 dB at each doubling of the distance from the source</t>
    </r>
  </si>
  <si>
    <r>
      <t>¨</t>
    </r>
    <r>
      <rPr>
        <sz val="7"/>
        <color rgb="FF000000"/>
        <rFont val="Times New Roman"/>
        <family val="1"/>
      </rPr>
      <t xml:space="preserve">  </t>
    </r>
    <r>
      <rPr>
        <sz val="11"/>
        <color rgb="FF000000"/>
        <rFont val="Calibri"/>
        <family val="2"/>
      </rPr>
      <t>In a spherical wave the SPL diminishes by 3 dB at each doubling of the distance from the source</t>
    </r>
  </si>
  <si>
    <r>
      <t>¨</t>
    </r>
    <r>
      <rPr>
        <sz val="7"/>
        <color rgb="FF000000"/>
        <rFont val="Times New Roman"/>
        <family val="1"/>
      </rPr>
      <t xml:space="preserve">  </t>
    </r>
    <r>
      <rPr>
        <sz val="11"/>
        <color rgb="FF000000"/>
        <rFont val="Calibri"/>
        <family val="2"/>
      </rPr>
      <t>In a cylindrical wave the SPL diminishes by 6 dB at each doubling of the distance from the source</t>
    </r>
  </si>
  <si>
    <r>
      <t>¨</t>
    </r>
    <r>
      <rPr>
        <sz val="7"/>
        <color rgb="FF000000"/>
        <rFont val="Times New Roman"/>
        <family val="1"/>
      </rPr>
      <t xml:space="preserve">  </t>
    </r>
    <r>
      <rPr>
        <sz val="11"/>
        <color rgb="FF000000"/>
        <rFont val="Calibri"/>
        <family val="2"/>
      </rPr>
      <t>In a cylindrical wave the SPL diminishes by 3 dB at each doubling of the distance from the source</t>
    </r>
  </si>
  <si>
    <r>
      <t>¨</t>
    </r>
    <r>
      <rPr>
        <sz val="7"/>
        <color rgb="FF000000"/>
        <rFont val="Times New Roman"/>
        <family val="1"/>
      </rPr>
      <t xml:space="preserve">  </t>
    </r>
    <r>
      <rPr>
        <sz val="11"/>
        <color rgb="FF000000"/>
        <rFont val="Calibri"/>
        <family val="2"/>
      </rPr>
      <t>A sound pressure having an RMS value of 1.0 Pa at 1 kHz</t>
    </r>
  </si>
  <si>
    <r>
      <t>¨</t>
    </r>
    <r>
      <rPr>
        <sz val="7"/>
        <color rgb="FF000000"/>
        <rFont val="Times New Roman"/>
        <family val="1"/>
      </rPr>
      <t xml:space="preserve">  </t>
    </r>
    <r>
      <rPr>
        <sz val="11"/>
        <color rgb="FF000000"/>
        <rFont val="Calibri"/>
        <family val="2"/>
      </rPr>
      <t>A sound pressure level of 94 dB</t>
    </r>
  </si>
  <si>
    <r>
      <t>¨</t>
    </r>
    <r>
      <rPr>
        <sz val="7"/>
        <color rgb="FF000000"/>
        <rFont val="Times New Roman"/>
        <family val="1"/>
      </rPr>
      <t xml:space="preserve">  </t>
    </r>
    <r>
      <rPr>
        <sz val="11"/>
        <color rgb="FF000000"/>
        <rFont val="Calibri"/>
        <family val="2"/>
      </rPr>
      <t>A sound pressure level of 94 dB(A)</t>
    </r>
  </si>
  <si>
    <r>
      <t>¨</t>
    </r>
    <r>
      <rPr>
        <sz val="7"/>
        <color rgb="FF000000"/>
        <rFont val="Times New Roman"/>
        <family val="1"/>
      </rPr>
      <t xml:space="preserve">  </t>
    </r>
    <r>
      <rPr>
        <sz val="11"/>
        <color rgb="FF000000"/>
        <rFont val="Calibri"/>
        <family val="2"/>
      </rPr>
      <t>A sound pressure level of 94 dB(C)</t>
    </r>
  </si>
  <si>
    <r>
      <t>¨</t>
    </r>
    <r>
      <rPr>
        <sz val="7"/>
        <color rgb="FF000000"/>
        <rFont val="Times New Roman"/>
        <family val="1"/>
      </rPr>
      <t xml:space="preserve">  </t>
    </r>
    <r>
      <rPr>
        <sz val="11"/>
        <color rgb="FF000000"/>
        <rFont val="Calibri"/>
        <family val="2"/>
      </rPr>
      <t>A particle velocity level of 94 dB</t>
    </r>
  </si>
  <si>
    <r>
      <t>¨</t>
    </r>
    <r>
      <rPr>
        <sz val="7"/>
        <color rgb="FF000000"/>
        <rFont val="Times New Roman"/>
        <family val="1"/>
      </rPr>
      <t xml:space="preserve">  </t>
    </r>
    <r>
      <rPr>
        <sz val="11"/>
        <color rgb="FF000000"/>
        <rFont val="Calibri"/>
        <family val="2"/>
      </rPr>
      <t>A sound intensity level of 94 dB</t>
    </r>
  </si>
  <si>
    <t>write number and measurement unit</t>
  </si>
  <si>
    <r>
      <t>6) A long barrier is placed at the distance of the first measurement point of previous exercise. It has an effective height of 2+F/4 m. Compute the SPL reduction ΔL at the second measurement point, assuming that the frequency is 300+E*10 Hz</t>
    </r>
    <r>
      <rPr>
        <sz val="11"/>
        <color rgb="FF000000"/>
        <rFont val="Calibri"/>
        <family val="2"/>
      </rPr>
      <t>.</t>
    </r>
  </si>
  <si>
    <t>m</t>
  </si>
  <si>
    <t>dB(A)</t>
  </si>
  <si>
    <t>d_1 =</t>
  </si>
  <si>
    <t>SPL_1 =</t>
  </si>
  <si>
    <t>d_2 =</t>
  </si>
  <si>
    <t>SPL_2 =</t>
  </si>
  <si>
    <t>h_eff =</t>
  </si>
  <si>
    <t>f =</t>
  </si>
  <si>
    <t>Hz</t>
  </si>
  <si>
    <t>SC =</t>
  </si>
  <si>
    <t>CR =</t>
  </si>
  <si>
    <t>SR =</t>
  </si>
  <si>
    <t>delta =</t>
  </si>
  <si>
    <t>N =</t>
  </si>
  <si>
    <t>dB</t>
  </si>
  <si>
    <r>
      <rPr>
        <b/>
        <sz val="12"/>
        <color rgb="FF000000"/>
        <rFont val="Calibri"/>
        <family val="2"/>
      </rPr>
      <t>Δ</t>
    </r>
    <r>
      <rPr>
        <b/>
        <sz val="10"/>
        <color rgb="FF000000"/>
        <rFont val="Arial"/>
        <family val="2"/>
      </rPr>
      <t>L =</t>
    </r>
  </si>
  <si>
    <t>N.</t>
  </si>
  <si>
    <t>Score</t>
  </si>
  <si>
    <t>Correct Answer</t>
  </si>
  <si>
    <t>Correct Unit</t>
  </si>
  <si>
    <t>TOTAL Score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</si>
</sst>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h:mm:ss"/>
    <numFmt numFmtId="165" formatCode="0.0"/>
  </numFmts>
  <fonts count="13" x14ac:knownFonts="1">
    <font>
      <sz val="10"/>
      <color rgb="FF000000"/>
      <name val="Arial"/>
    </font>
    <font>
      <sz val="10"/>
      <color theme="1"/>
      <name val="Arial"/>
    </font>
    <font>
      <sz val="10"/>
      <color rgb="FF000000"/>
      <name val="Arial"/>
      <family val="2"/>
    </font>
    <font>
      <sz val="11"/>
      <color rgb="FF000000"/>
      <name val="Calibri"/>
      <family val="2"/>
    </font>
    <font>
      <b/>
      <sz val="11"/>
      <color rgb="FF000000"/>
      <name val="Calibri"/>
      <family val="2"/>
    </font>
    <font>
      <i/>
      <sz val="11"/>
      <color rgb="FF000000"/>
      <name val="Calibri"/>
      <family val="2"/>
    </font>
    <font>
      <sz val="11"/>
      <color rgb="FF000000"/>
      <name val="Wingdings"/>
      <charset val="2"/>
    </font>
    <font>
      <sz val="7"/>
      <color rgb="FF000000"/>
      <name val="Times New Roman"/>
      <family val="1"/>
    </font>
    <font>
      <b/>
      <sz val="10"/>
      <color rgb="FF000000"/>
      <name val="Arial"/>
      <family val="2"/>
    </font>
    <font>
      <b/>
      <sz val="12"/>
      <color rgb="FF000000"/>
      <name val="Calibri"/>
      <family val="2"/>
    </font>
    <font>
      <b/>
      <sz val="10"/>
      <name val="Arial"/>
      <family val="2"/>
    </font>
    <font>
      <sz val="10"/>
      <name val="Arial"/>
      <family val="2"/>
    </font>
    <font>
      <sz val="10"/>
      <color rgb="FF008000"/>
      <name val="Arial"/>
      <family val="2"/>
    </font>
  </fonts>
  <fills count="5">
    <fill>
      <patternFill patternType="none"/>
    </fill>
    <fill>
      <patternFill patternType="gray125"/>
    </fill>
    <fill>
      <patternFill patternType="solid">
        <fgColor rgb="FFFFFF00"/>
        <bgColor indexed="64"/>
      </patternFill>
    </fill>
    <fill>
      <patternFill patternType="solid">
        <fgColor rgb="FFD8D8D8"/>
        <bgColor rgb="FFD8D8D8"/>
      </patternFill>
    </fill>
    <fill>
      <patternFill patternType="solid">
        <fgColor theme="9" tint="0.79998168889431442"/>
        <bgColor indexed="64"/>
      </patternFill>
    </fill>
  </fills>
  <borders count="1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s>
  <cellStyleXfs count="1">
    <xf numFmtId="0" fontId="0" fillId="0" borderId="0"/>
  </cellStyleXfs>
  <cellXfs count="46">
    <xf numFmtId="0" fontId="0" fillId="0" borderId="0" xfId="0" applyFont="1" applyAlignment="1"/>
    <xf numFmtId="0" fontId="0" fillId="0" borderId="0" xfId="0"/>
    <xf numFmtId="0" fontId="0" fillId="0" borderId="1"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0" fillId="0" borderId="4" xfId="0" applyFont="1" applyBorder="1" applyAlignment="1">
      <alignment horizontal="center"/>
    </xf>
    <xf numFmtId="0" fontId="0" fillId="0" borderId="5" xfId="0" applyFont="1" applyBorder="1" applyAlignment="1">
      <alignment horizontal="center"/>
    </xf>
    <xf numFmtId="0" fontId="0" fillId="0" borderId="6" xfId="0" applyFont="1" applyBorder="1" applyAlignment="1">
      <alignment horizont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horizontal="left" vertical="center" indent="4"/>
    </xf>
    <xf numFmtId="0" fontId="6" fillId="2" borderId="0" xfId="0" applyFont="1" applyFill="1" applyAlignment="1">
      <alignment horizontal="left" vertical="center" indent="4"/>
    </xf>
    <xf numFmtId="0" fontId="0" fillId="2" borderId="0" xfId="0" applyFont="1" applyFill="1" applyAlignment="1"/>
    <xf numFmtId="0" fontId="2" fillId="0" borderId="0" xfId="0" applyFont="1" applyAlignment="1"/>
    <xf numFmtId="165" fontId="0" fillId="0" borderId="0" xfId="0" applyNumberFormat="1" applyFont="1" applyAlignment="1"/>
    <xf numFmtId="0" fontId="8" fillId="0" borderId="7" xfId="0" applyFont="1" applyBorder="1" applyAlignment="1"/>
    <xf numFmtId="165" fontId="8" fillId="0" borderId="8" xfId="0" applyNumberFormat="1" applyFont="1" applyBorder="1" applyAlignment="1"/>
    <xf numFmtId="0" fontId="8" fillId="0" borderId="9" xfId="0" applyFont="1" applyBorder="1" applyAlignment="1"/>
    <xf numFmtId="0" fontId="2" fillId="0" borderId="0" xfId="0" applyFont="1" applyFill="1" applyBorder="1" applyAlignment="1"/>
    <xf numFmtId="0" fontId="4" fillId="0" borderId="0" xfId="0" applyFont="1" applyAlignment="1">
      <alignment vertical="center" wrapText="1"/>
    </xf>
    <xf numFmtId="0" fontId="0" fillId="0" borderId="0" xfId="0" applyFont="1" applyAlignment="1">
      <alignment wrapText="1"/>
    </xf>
    <xf numFmtId="0" fontId="0" fillId="0" borderId="10" xfId="0" applyBorder="1" applyAlignment="1">
      <alignment horizontal="center"/>
    </xf>
    <xf numFmtId="0" fontId="11" fillId="4" borderId="10" xfId="0" applyFont="1" applyFill="1" applyBorder="1" applyAlignment="1">
      <alignment horizontal="center"/>
    </xf>
    <xf numFmtId="165" fontId="12" fillId="0" borderId="10" xfId="0" applyNumberFormat="1" applyFont="1" applyBorder="1" applyAlignment="1">
      <alignment horizontal="center"/>
    </xf>
    <xf numFmtId="0" fontId="11" fillId="0" borderId="10" xfId="0" applyFont="1" applyBorder="1"/>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2" xfId="0" applyFont="1" applyFill="1" applyBorder="1" applyAlignment="1">
      <alignment horizontal="left" vertical="center"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wrapText="1"/>
    </xf>
    <xf numFmtId="0" fontId="0" fillId="0" borderId="14" xfId="0" applyFont="1" applyBorder="1" applyAlignment="1">
      <alignment horizontal="center"/>
    </xf>
    <xf numFmtId="164" fontId="1" fillId="0" borderId="10" xfId="0" applyNumberFormat="1" applyFont="1" applyBorder="1" applyAlignment="1">
      <alignment horizontal="center"/>
    </xf>
    <xf numFmtId="0" fontId="1" fillId="0" borderId="10" xfId="0" applyFont="1" applyBorder="1" applyAlignment="1"/>
    <xf numFmtId="0" fontId="1" fillId="0" borderId="10" xfId="0" applyFont="1" applyBorder="1" applyAlignment="1">
      <alignment horizontal="center"/>
    </xf>
    <xf numFmtId="0" fontId="8" fillId="2" borderId="15" xfId="0" applyFont="1" applyFill="1" applyBorder="1" applyAlignment="1">
      <alignment horizontal="center"/>
    </xf>
    <xf numFmtId="0" fontId="0" fillId="0" borderId="10" xfId="0" applyFont="1" applyBorder="1" applyAlignment="1"/>
    <xf numFmtId="0" fontId="0" fillId="0" borderId="16" xfId="0" applyFont="1" applyBorder="1" applyAlignment="1">
      <alignment horizontal="center"/>
    </xf>
    <xf numFmtId="164" fontId="1" fillId="0" borderId="17" xfId="0" applyNumberFormat="1" applyFont="1" applyBorder="1" applyAlignment="1">
      <alignment horizontal="center"/>
    </xf>
    <xf numFmtId="0" fontId="1" fillId="0" borderId="17" xfId="0" applyFont="1" applyBorder="1"/>
    <xf numFmtId="0" fontId="1" fillId="0" borderId="17" xfId="0" applyFont="1" applyBorder="1" applyAlignment="1">
      <alignment horizontal="center"/>
    </xf>
    <xf numFmtId="0" fontId="0" fillId="0" borderId="17" xfId="0" applyBorder="1" applyAlignment="1">
      <alignment horizontal="center"/>
    </xf>
    <xf numFmtId="0" fontId="11" fillId="4" borderId="17" xfId="0" applyFont="1" applyFill="1" applyBorder="1" applyAlignment="1">
      <alignment horizontal="center"/>
    </xf>
    <xf numFmtId="165" fontId="12" fillId="0" borderId="17" xfId="0" applyNumberFormat="1" applyFont="1" applyBorder="1" applyAlignment="1">
      <alignment horizontal="center"/>
    </xf>
    <xf numFmtId="0" fontId="11" fillId="0" borderId="17" xfId="0" applyFont="1" applyBorder="1"/>
    <xf numFmtId="0" fontId="0" fillId="0" borderId="17" xfId="0" applyBorder="1"/>
    <xf numFmtId="0" fontId="8" fillId="2" borderId="18" xfId="0" applyFont="1" applyFill="1" applyBorder="1" applyAlignment="1">
      <alignment horizontal="center"/>
    </xf>
  </cellXfs>
  <cellStyles count="1">
    <cellStyle name="Normal" xfId="0" builtinId="0"/>
  </cellStyles>
  <dxfs count="30">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
      <font>
        <color theme="2" tint="-0.749961851863155"/>
      </font>
      <fill>
        <patternFill>
          <bgColor theme="0" tint="-0.14996795556505021"/>
        </patternFill>
      </fill>
    </dxf>
    <dxf>
      <fill>
        <patternFill>
          <bgColor rgb="FFFFFF00"/>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T9"/>
  <sheetViews>
    <sheetView tabSelected="1" workbookViewId="0">
      <pane xSplit="4" ySplit="1" topLeftCell="E2" activePane="bottomRight" state="frozen"/>
      <selection pane="topRight" activeCell="E1" sqref="E1"/>
      <selection pane="bottomLeft" activeCell="A2" sqref="A2"/>
      <selection pane="bottomRight"/>
    </sheetView>
  </sheetViews>
  <sheetFormatPr defaultColWidth="14.3984375" defaultRowHeight="15.75" customHeight="1" x14ac:dyDescent="0.35"/>
  <cols>
    <col min="1" max="1" width="3.796875" customWidth="1"/>
    <col min="2" max="2" width="16.9296875" customWidth="1"/>
    <col min="3" max="3" width="21.53125" customWidth="1"/>
    <col min="4" max="4" width="19.3984375" customWidth="1"/>
    <col min="5" max="5" width="9" customWidth="1"/>
    <col min="6" max="11" width="2.796875" customWidth="1"/>
    <col min="12" max="12" width="24.86328125" customWidth="1"/>
    <col min="13" max="13" width="6.33203125" customWidth="1"/>
    <col min="14" max="14" width="15.1328125" customWidth="1"/>
    <col min="15" max="15" width="6.73046875" customWidth="1"/>
    <col min="16" max="16" width="14.9296875" customWidth="1"/>
    <col min="17" max="22" width="2.796875" customWidth="1"/>
    <col min="23" max="23" width="21.53125" customWidth="1"/>
    <col min="24" max="29" width="2.9296875" customWidth="1"/>
    <col min="30" max="30" width="33.9296875" customWidth="1"/>
    <col min="31" max="31" width="7.3984375" customWidth="1"/>
    <col min="32" max="32" width="8.265625" customWidth="1"/>
    <col min="33" max="33" width="6.46484375" customWidth="1"/>
    <col min="34" max="34" width="27.9296875" customWidth="1"/>
    <col min="35" max="36" width="8.46484375" customWidth="1"/>
    <col min="37" max="37" width="5.9296875" customWidth="1"/>
    <col min="38" max="38" width="34.59765625" customWidth="1"/>
    <col min="39" max="40" width="7.59765625" customWidth="1"/>
    <col min="41" max="41" width="6.59765625" customWidth="1"/>
    <col min="42" max="42" width="27.9296875" customWidth="1"/>
    <col min="43" max="44" width="8.1328125" customWidth="1"/>
    <col min="45" max="45" width="6.6640625" customWidth="1"/>
    <col min="46" max="46" width="8.59765625" customWidth="1"/>
    <col min="47" max="48" width="21.53125" customWidth="1"/>
  </cols>
  <sheetData>
    <row r="1" spans="1:46" ht="124.15" customHeight="1" thickTop="1" x14ac:dyDescent="0.35">
      <c r="A1" s="25" t="s">
        <v>103</v>
      </c>
      <c r="B1" s="26" t="s">
        <v>0</v>
      </c>
      <c r="C1" s="27" t="s">
        <v>1</v>
      </c>
      <c r="D1" s="27" t="s">
        <v>2</v>
      </c>
      <c r="E1" s="27" t="s">
        <v>3</v>
      </c>
      <c r="F1" s="26" t="s">
        <v>55</v>
      </c>
      <c r="G1" s="26" t="s">
        <v>56</v>
      </c>
      <c r="H1" s="26" t="s">
        <v>48</v>
      </c>
      <c r="I1" s="26" t="s">
        <v>57</v>
      </c>
      <c r="J1" s="26" t="s">
        <v>58</v>
      </c>
      <c r="K1" s="26" t="s">
        <v>59</v>
      </c>
      <c r="L1" s="27" t="s">
        <v>4</v>
      </c>
      <c r="M1" s="26" t="s">
        <v>104</v>
      </c>
      <c r="N1" s="27" t="s">
        <v>5</v>
      </c>
      <c r="O1" s="26" t="s">
        <v>104</v>
      </c>
      <c r="P1" s="27" t="s">
        <v>6</v>
      </c>
      <c r="Q1" s="28">
        <v>1</v>
      </c>
      <c r="R1" s="28">
        <v>-1</v>
      </c>
      <c r="S1" s="28">
        <v>1</v>
      </c>
      <c r="T1" s="28">
        <v>-1</v>
      </c>
      <c r="U1" s="28">
        <v>-1</v>
      </c>
      <c r="V1" s="28">
        <v>1</v>
      </c>
      <c r="W1" s="27" t="s">
        <v>7</v>
      </c>
      <c r="X1" s="28">
        <v>1</v>
      </c>
      <c r="Y1" s="28">
        <v>1</v>
      </c>
      <c r="Z1" s="28">
        <v>1</v>
      </c>
      <c r="AA1" s="28">
        <v>1</v>
      </c>
      <c r="AB1" s="28">
        <v>-1</v>
      </c>
      <c r="AC1" s="28">
        <v>-1</v>
      </c>
      <c r="AD1" s="27" t="s">
        <v>8</v>
      </c>
      <c r="AE1" s="26" t="s">
        <v>105</v>
      </c>
      <c r="AF1" s="26" t="s">
        <v>106</v>
      </c>
      <c r="AG1" s="26" t="s">
        <v>104</v>
      </c>
      <c r="AH1" s="27" t="s">
        <v>9</v>
      </c>
      <c r="AI1" s="26" t="s">
        <v>105</v>
      </c>
      <c r="AJ1" s="26" t="s">
        <v>106</v>
      </c>
      <c r="AK1" s="26" t="s">
        <v>104</v>
      </c>
      <c r="AL1" s="27" t="s">
        <v>10</v>
      </c>
      <c r="AM1" s="26" t="s">
        <v>105</v>
      </c>
      <c r="AN1" s="26" t="s">
        <v>106</v>
      </c>
      <c r="AO1" s="26" t="s">
        <v>104</v>
      </c>
      <c r="AP1" s="27" t="s">
        <v>11</v>
      </c>
      <c r="AQ1" s="26" t="s">
        <v>105</v>
      </c>
      <c r="AR1" s="26" t="s">
        <v>106</v>
      </c>
      <c r="AS1" s="26" t="s">
        <v>104</v>
      </c>
      <c r="AT1" s="29" t="s">
        <v>107</v>
      </c>
    </row>
    <row r="2" spans="1:46" ht="13.15" x14ac:dyDescent="0.4">
      <c r="A2" s="30">
        <v>1</v>
      </c>
      <c r="B2" s="31">
        <v>44110.412143611116</v>
      </c>
      <c r="C2" s="32" t="s">
        <v>12</v>
      </c>
      <c r="D2" s="32" t="s">
        <v>13</v>
      </c>
      <c r="E2" s="33">
        <v>313789</v>
      </c>
      <c r="F2" s="21">
        <f>INT(E2/100000)</f>
        <v>3</v>
      </c>
      <c r="G2" s="21">
        <f t="shared" ref="G2" si="0">INT(($E2-100000*F2)/10000)</f>
        <v>1</v>
      </c>
      <c r="H2" s="21">
        <f t="shared" ref="H2" si="1">INT(($E2-100000*F2-10000*G2)/1000)</f>
        <v>3</v>
      </c>
      <c r="I2" s="21">
        <f>INT(($E2-100000*$F2-10000*$G2-1000*$H2)/100)</f>
        <v>7</v>
      </c>
      <c r="J2" s="21">
        <f>INT(($E2-100000*$F2-10000*$G2-1000*$H2-100*$I2)/10)</f>
        <v>8</v>
      </c>
      <c r="K2" s="21">
        <f>INT(($E2-100000*$F2-10000*$G2-1000*$H2-100*$I2-10*$J2))</f>
        <v>9</v>
      </c>
      <c r="L2" s="32" t="s">
        <v>14</v>
      </c>
      <c r="M2" s="22">
        <f>IF(L2="Because the decibel scale in an energetic scale, and field quantities such as p and v must be squared for becoming proportional to potential and kinetic energy, respectively",1,IF(L2="",0,-1))</f>
        <v>1</v>
      </c>
      <c r="N2" s="32" t="s">
        <v>15</v>
      </c>
      <c r="O2" s="22">
        <f>IF(N2="Because the decibel scale in an energetic scale, and field quantities such as p and v must be squared for becoming proportional to potential and kinetic energy, respectively",1,IF(N2="",0,-1))</f>
        <v>-1</v>
      </c>
      <c r="P2" s="32" t="s">
        <v>16</v>
      </c>
      <c r="Q2" s="22">
        <f>IF(ISERROR(FIND("The sound radiated by a point source creates spherical waves",P2,1)),0,Q$1)</f>
        <v>1</v>
      </c>
      <c r="R2" s="22">
        <f>IF(ISERROR(FIND("The sound radiated by a line source creates spherical waves",P2,1)),0,R$1)</f>
        <v>0</v>
      </c>
      <c r="S2" s="22">
        <f>IF(ISERROR(FIND("In a spherical wave the SPL diminishes by 6 dB at each doubling of the distance from the source",P2,1)),0,S$1)</f>
        <v>1</v>
      </c>
      <c r="T2" s="22">
        <f>IF(ISERROR(FIND("In a spherical wave the SPL diminishes by 3 dB at each doubling of the distance from the source",P2,1)),0,T$1)</f>
        <v>0</v>
      </c>
      <c r="U2" s="22">
        <f>IF(ISERROR(FIND("In a cylindrical wave the SPL diminishes by 6 dB at each doubling of the distance from the source",P2,1)),0,U$1)</f>
        <v>0</v>
      </c>
      <c r="V2" s="22">
        <f>IF(ISERROR(FIND("In a cylindrical wave the SPL diminishes by 3 dB at each doubling of the distance from the source",P2,1)),0,V$1)</f>
        <v>1</v>
      </c>
      <c r="W2" s="32" t="s">
        <v>17</v>
      </c>
      <c r="X2" s="22">
        <f>IF(ISERROR(FIND("RMS value of 1.0 Pa at 1 kHz",W2,1)),0,X$1)</f>
        <v>1</v>
      </c>
      <c r="Y2" s="22">
        <f>IF(ISERROR(FIND("A sound pressure level of 94 dB",W2,1)),0,Y$1)</f>
        <v>1</v>
      </c>
      <c r="Z2" s="22">
        <f>IF(ISERROR(FIND("A sound pressure level of 94 dB(A)",W2,1)),0,Z$1)</f>
        <v>1</v>
      </c>
      <c r="AA2" s="22">
        <f>IF(ISERROR(FIND("A sound pressure level of 94 dB(C)",W2,1)),0,AA$1)</f>
        <v>1</v>
      </c>
      <c r="AB2" s="22">
        <f>IF(ISERROR(FIND("A particle velocity level of 94 dB",W2,1)),0,AB$1)</f>
        <v>0</v>
      </c>
      <c r="AC2" s="22">
        <f>IF(ISERROR(FIND("A sound intensity level of 94 dB",W2,1)),0,AC$1)</f>
        <v>0</v>
      </c>
      <c r="AD2" s="32" t="s">
        <v>18</v>
      </c>
      <c r="AE2" s="23">
        <f>80+$J2+20*LOG10((10+$K2)/(30+$I2))</f>
        <v>82.211037537716678</v>
      </c>
      <c r="AF2" s="24" t="s">
        <v>88</v>
      </c>
      <c r="AG2" s="22">
        <f>IF(AD2="",0,IF(EXACT(RIGHT(AD2,5),"dB(A)"),IF(ABS(VALUE(LEFT(AD2,FIND(" ",AD2,1)))-AE2)&lt;=0.5,1,-1),-1))</f>
        <v>1</v>
      </c>
      <c r="AH2" s="32" t="s">
        <v>19</v>
      </c>
      <c r="AI2" s="23">
        <f>10*LOG10(3+20*2*(SQRT((10+$K2)^2+(2+$K2/4)^2)+SQRT(((30+$I2)-(10+$K2))^2+(2+$K2/4)^2)-(30+$I2))*(300+$J2*10)/340)</f>
        <v>16.638610478850534</v>
      </c>
      <c r="AJ2" s="24" t="s">
        <v>101</v>
      </c>
      <c r="AK2" s="22">
        <f>IF(AH2="",0,IF(EXACT(RIGHT(AH2,2),"dB"),IF(ABS(VALUE(LEFT(AH2,FIND(" ",AH2,1)))-AI2)&lt;=0.5,1,-1),-1))</f>
        <v>1</v>
      </c>
      <c r="AL2" s="32" t="s">
        <v>20</v>
      </c>
      <c r="AM2" s="23">
        <f>80+$J2+10*LOG10((10+$K2)/(30+$I2))</f>
        <v>85.105518768858346</v>
      </c>
      <c r="AN2" s="24" t="s">
        <v>88</v>
      </c>
      <c r="AO2" s="22">
        <f>IF(AL2="",0,IF(EXACT(RIGHT(AL2,5),"dB(A)"),IF(ABS(VALUE(LEFT(AL2,FIND(" ",AL2,1)))-AM2)&lt;=0.5,1,-1),-1))</f>
        <v>1</v>
      </c>
      <c r="AP2" s="32" t="s">
        <v>21</v>
      </c>
      <c r="AQ2" s="23">
        <f>10*LOG10(2+5.5*2*(SQRT((10+$K2)^2+(2+$K2/4)^2)+SQRT(((30+$I2)-(10+$K2))^2+(2+$K2/4)^2)-(30+$I2))*(1000+$J2*100)/340)</f>
        <v>17.646659569698354</v>
      </c>
      <c r="AR2" s="24" t="s">
        <v>101</v>
      </c>
      <c r="AS2" s="22">
        <f>IF(AP2="",0,IF(EXACT(RIGHT(AP2,2),"dB"),IF(ABS(VALUE(LEFT(AP2,FIND(" ",AP2,1)))-AQ2)&lt;=0.5,1,-1),-1))</f>
        <v>1</v>
      </c>
      <c r="AT2" s="34">
        <f>M2+O2+SUM(Q2:V2)+SUM(X2:AC2)+AG2+AK2+AO2+AS2</f>
        <v>11</v>
      </c>
    </row>
    <row r="3" spans="1:46" ht="13.15" x14ac:dyDescent="0.4">
      <c r="A3" s="30">
        <v>2</v>
      </c>
      <c r="B3" s="31">
        <v>44110.413258229164</v>
      </c>
      <c r="C3" s="32" t="s">
        <v>22</v>
      </c>
      <c r="D3" s="32" t="s">
        <v>23</v>
      </c>
      <c r="E3" s="33">
        <v>301136</v>
      </c>
      <c r="F3" s="21">
        <f t="shared" ref="F3:F8" si="2">INT(E3/100000)</f>
        <v>3</v>
      </c>
      <c r="G3" s="21">
        <f t="shared" ref="G3:G8" si="3">INT(($E3-100000*F3)/10000)</f>
        <v>0</v>
      </c>
      <c r="H3" s="21">
        <f t="shared" ref="H3:H8" si="4">INT(($E3-100000*F3-10000*G3)/1000)</f>
        <v>1</v>
      </c>
      <c r="I3" s="21">
        <f t="shared" ref="I3:I8" si="5">INT(($E3-100000*$F3-10000*$G3-1000*$H3)/100)</f>
        <v>1</v>
      </c>
      <c r="J3" s="21">
        <f t="shared" ref="J3:J8" si="6">INT(($E3-100000*$F3-10000*$G3-1000*$H3-100*$I3)/10)</f>
        <v>3</v>
      </c>
      <c r="K3" s="21">
        <f t="shared" ref="K3:K8" si="7">INT(($E3-100000*$F3-10000*$G3-1000*$H3-100*$I3-10*$J3))</f>
        <v>6</v>
      </c>
      <c r="L3" s="32" t="s">
        <v>14</v>
      </c>
      <c r="M3" s="22">
        <f t="shared" ref="M3:M8" si="8">IF(L3="Because the decibel scale in an energetic scale, and field quantities such as p and v must be squared for becoming proportional to potential and kinetic energy, respectively",1,IF(L3="",0,-1))</f>
        <v>1</v>
      </c>
      <c r="N3" s="32" t="s">
        <v>15</v>
      </c>
      <c r="O3" s="22">
        <f t="shared" ref="O3:O8" si="9">IF(N3="Because the decibel scale in an energetic scale, and field quantities such as p and v must be squared for becoming proportional to potential and kinetic energy, respectively",1,IF(N3="",0,-1))</f>
        <v>-1</v>
      </c>
      <c r="P3" s="32" t="s">
        <v>16</v>
      </c>
      <c r="Q3" s="22">
        <f t="shared" ref="Q3:Q8" si="10">IF(ISERROR(FIND("The sound radiated by a point source creates spherical waves",P3,1)),0,Q$1)</f>
        <v>1</v>
      </c>
      <c r="R3" s="22">
        <f t="shared" ref="R3:R8" si="11">IF(ISERROR(FIND("The sound radiated by a line source creates spherical waves",P3,1)),0,R$1)</f>
        <v>0</v>
      </c>
      <c r="S3" s="22">
        <f t="shared" ref="S3:S8" si="12">IF(ISERROR(FIND("In a spherical wave the SPL diminishes by 6 dB at each doubling of the distance from the source",P3,1)),0,S$1)</f>
        <v>1</v>
      </c>
      <c r="T3" s="22">
        <f t="shared" ref="T3:T8" si="13">IF(ISERROR(FIND("In a spherical wave the SPL diminishes by 3 dB at each doubling of the distance from the source",P3,1)),0,T$1)</f>
        <v>0</v>
      </c>
      <c r="U3" s="22">
        <f t="shared" ref="U3:U8" si="14">IF(ISERROR(FIND("In a cylindrical wave the SPL diminishes by 6 dB at each doubling of the distance from the source",P3,1)),0,U$1)</f>
        <v>0</v>
      </c>
      <c r="V3" s="22">
        <f t="shared" ref="V3:V8" si="15">IF(ISERROR(FIND("In a cylindrical wave the SPL diminishes by 3 dB at each doubling of the distance from the source",P3,1)),0,V$1)</f>
        <v>1</v>
      </c>
      <c r="W3" s="32" t="s">
        <v>24</v>
      </c>
      <c r="X3" s="22">
        <f t="shared" ref="X3:X8" si="16">IF(ISERROR(FIND("RMS value of 1.0 Pa at 1 kHz",W3,1)),0,X$1)</f>
        <v>1</v>
      </c>
      <c r="Y3" s="22">
        <f t="shared" ref="Y3:Y8" si="17">IF(ISERROR(FIND("A sound pressure level of 94 dB",W3,1)),0,Y$1)</f>
        <v>1</v>
      </c>
      <c r="Z3" s="22">
        <f t="shared" ref="Z3:Z8" si="18">IF(ISERROR(FIND("A sound pressure level of 94 dB(A)",W3,1)),0,Z$1)</f>
        <v>0</v>
      </c>
      <c r="AA3" s="22">
        <f t="shared" ref="AA3:AA8" si="19">IF(ISERROR(FIND("A sound pressure level of 94 dB(C)",W3,1)),0,AA$1)</f>
        <v>1</v>
      </c>
      <c r="AB3" s="22">
        <f t="shared" ref="AB3:AB8" si="20">IF(ISERROR(FIND("A particle velocity level of 94 dB",W3,1)),0,AB$1)</f>
        <v>0</v>
      </c>
      <c r="AC3" s="22">
        <f t="shared" ref="AC3:AC8" si="21">IF(ISERROR(FIND("A sound intensity level of 94 dB",W3,1)),0,AC$1)</f>
        <v>0</v>
      </c>
      <c r="AD3" s="35"/>
      <c r="AE3" s="23">
        <f t="shared" ref="AE3:AE8" si="22">80+$J3+20*LOG10((10+$K3)/(30+$I3))</f>
        <v>77.255165776433046</v>
      </c>
      <c r="AF3" s="24" t="s">
        <v>88</v>
      </c>
      <c r="AG3" s="22">
        <f t="shared" ref="AG3:AG7" si="23">IF(AD3="",0,IF(EXACT(RIGHT(AD3,5),"dB(A)"),IF(ABS(VALUE(LEFT(AD3,FIND(" ",AD3,1)))-AE3)&lt;=0.5,1,-1),-1))</f>
        <v>0</v>
      </c>
      <c r="AH3" s="35"/>
      <c r="AI3" s="23">
        <f t="shared" ref="AI3:AI8" si="24">10*LOG10(3+20*2*(SQRT((10+$K3)^2+(2+$K3/4)^2)+SQRT(((30+$I3)-(10+$K3))^2+(2+$K3/4)^2)-(30+$I3))*(300+$J3*10)/340)</f>
        <v>15.228524535021183</v>
      </c>
      <c r="AJ3" s="24" t="s">
        <v>101</v>
      </c>
      <c r="AK3" s="22">
        <f t="shared" ref="AK3:AK8" si="25">IF(AH3="",0,IF(EXACT(RIGHT(AH3,2),"dB"),IF(ABS(VALUE(LEFT(AH3,FIND(" ",AH3,1)))-AI3)&lt;=0.5,1,-1),-1))</f>
        <v>0</v>
      </c>
      <c r="AL3" s="35"/>
      <c r="AM3" s="23">
        <f t="shared" ref="AM3:AM8" si="26">80+$J3+10*LOG10((10+$K3)/(30+$I3))</f>
        <v>80.127582888216523</v>
      </c>
      <c r="AN3" s="24" t="s">
        <v>88</v>
      </c>
      <c r="AO3" s="22">
        <f t="shared" ref="AO3:AO8" si="27">IF(AL3="",0,IF(EXACT(RIGHT(AL3,5),"dB(A)"),IF(ABS(VALUE(LEFT(AL3,FIND(" ",AL3,1)))-AM3)&lt;=0.5,1,-1),-1))</f>
        <v>0</v>
      </c>
      <c r="AP3" s="35"/>
      <c r="AQ3" s="23">
        <f t="shared" ref="AQ3:AQ8" si="28">10*LOG10(2+5.5*2*(SQRT((10+$K3)^2+(2+$K3/4)^2)+SQRT(((30+$I3)-(10+$K3))^2+(2+$K3/4)^2)-(30+$I3))*(1000+$J3*100)/340)</f>
        <v>15.423139905089069</v>
      </c>
      <c r="AR3" s="24" t="s">
        <v>101</v>
      </c>
      <c r="AS3" s="22">
        <f t="shared" ref="AS3:AS8" si="29">IF(AP3="",0,IF(EXACT(RIGHT(AP3,2),"dB"),IF(ABS(VALUE(LEFT(AP3,FIND(" ",AP3,1)))-AQ3)&lt;=0.5,1,-1),-1))</f>
        <v>0</v>
      </c>
      <c r="AT3" s="34">
        <f t="shared" ref="AT3:AT8" si="30">M3+O3+SUM(Q3:V3)+SUM(X3:AC3)+AG3+AK3+AO3+AS3</f>
        <v>6</v>
      </c>
    </row>
    <row r="4" spans="1:46" ht="13.15" x14ac:dyDescent="0.4">
      <c r="A4" s="30">
        <v>3</v>
      </c>
      <c r="B4" s="31">
        <v>44110.420485219904</v>
      </c>
      <c r="C4" s="32" t="s">
        <v>25</v>
      </c>
      <c r="D4" s="32" t="s">
        <v>26</v>
      </c>
      <c r="E4" s="33">
        <v>324103</v>
      </c>
      <c r="F4" s="21">
        <f t="shared" si="2"/>
        <v>3</v>
      </c>
      <c r="G4" s="21">
        <f t="shared" si="3"/>
        <v>2</v>
      </c>
      <c r="H4" s="21">
        <f t="shared" si="4"/>
        <v>4</v>
      </c>
      <c r="I4" s="21">
        <f t="shared" si="5"/>
        <v>1</v>
      </c>
      <c r="J4" s="21">
        <f t="shared" si="6"/>
        <v>0</v>
      </c>
      <c r="K4" s="21">
        <f t="shared" si="7"/>
        <v>3</v>
      </c>
      <c r="L4" s="32" t="s">
        <v>14</v>
      </c>
      <c r="M4" s="22">
        <f t="shared" si="8"/>
        <v>1</v>
      </c>
      <c r="N4" s="32" t="s">
        <v>15</v>
      </c>
      <c r="O4" s="22">
        <f t="shared" si="9"/>
        <v>-1</v>
      </c>
      <c r="P4" s="32" t="s">
        <v>16</v>
      </c>
      <c r="Q4" s="22">
        <f t="shared" si="10"/>
        <v>1</v>
      </c>
      <c r="R4" s="22">
        <f t="shared" si="11"/>
        <v>0</v>
      </c>
      <c r="S4" s="22">
        <f t="shared" si="12"/>
        <v>1</v>
      </c>
      <c r="T4" s="22">
        <f t="shared" si="13"/>
        <v>0</v>
      </c>
      <c r="U4" s="22">
        <f t="shared" si="14"/>
        <v>0</v>
      </c>
      <c r="V4" s="22">
        <f t="shared" si="15"/>
        <v>1</v>
      </c>
      <c r="W4" s="35"/>
      <c r="X4" s="22">
        <f t="shared" si="16"/>
        <v>0</v>
      </c>
      <c r="Y4" s="22">
        <f t="shared" si="17"/>
        <v>0</v>
      </c>
      <c r="Z4" s="22">
        <f t="shared" si="18"/>
        <v>0</v>
      </c>
      <c r="AA4" s="22">
        <f t="shared" si="19"/>
        <v>0</v>
      </c>
      <c r="AB4" s="22">
        <f t="shared" si="20"/>
        <v>0</v>
      </c>
      <c r="AC4" s="22">
        <f t="shared" si="21"/>
        <v>0</v>
      </c>
      <c r="AD4" s="32" t="s">
        <v>27</v>
      </c>
      <c r="AE4" s="23">
        <f t="shared" si="22"/>
        <v>72.451633169451284</v>
      </c>
      <c r="AF4" s="24" t="s">
        <v>88</v>
      </c>
      <c r="AG4" s="22">
        <f t="shared" si="23"/>
        <v>1</v>
      </c>
      <c r="AH4" s="32" t="s">
        <v>28</v>
      </c>
      <c r="AI4" s="23">
        <f t="shared" si="24"/>
        <v>13.122819215350084</v>
      </c>
      <c r="AJ4" s="24" t="s">
        <v>101</v>
      </c>
      <c r="AK4" s="22">
        <f t="shared" si="25"/>
        <v>-1</v>
      </c>
      <c r="AL4" s="32" t="s">
        <v>29</v>
      </c>
      <c r="AM4" s="23">
        <f t="shared" si="26"/>
        <v>76.225816584725635</v>
      </c>
      <c r="AN4" s="24" t="s">
        <v>88</v>
      </c>
      <c r="AO4" s="22">
        <f t="shared" si="27"/>
        <v>1</v>
      </c>
      <c r="AP4" s="32" t="s">
        <v>30</v>
      </c>
      <c r="AQ4" s="23">
        <f t="shared" si="28"/>
        <v>12.568266529325813</v>
      </c>
      <c r="AR4" s="24" t="s">
        <v>101</v>
      </c>
      <c r="AS4" s="22">
        <f t="shared" si="29"/>
        <v>-1</v>
      </c>
      <c r="AT4" s="34">
        <f t="shared" si="30"/>
        <v>3</v>
      </c>
    </row>
    <row r="5" spans="1:46" ht="13.15" x14ac:dyDescent="0.4">
      <c r="A5" s="30">
        <v>4</v>
      </c>
      <c r="B5" s="31">
        <v>44110.420497291663</v>
      </c>
      <c r="C5" s="32" t="s">
        <v>31</v>
      </c>
      <c r="D5" s="32" t="s">
        <v>32</v>
      </c>
      <c r="E5" s="33">
        <v>324114</v>
      </c>
      <c r="F5" s="21">
        <f t="shared" si="2"/>
        <v>3</v>
      </c>
      <c r="G5" s="21">
        <f t="shared" si="3"/>
        <v>2</v>
      </c>
      <c r="H5" s="21">
        <f t="shared" si="4"/>
        <v>4</v>
      </c>
      <c r="I5" s="21">
        <f t="shared" si="5"/>
        <v>1</v>
      </c>
      <c r="J5" s="21">
        <f t="shared" si="6"/>
        <v>1</v>
      </c>
      <c r="K5" s="21">
        <f t="shared" si="7"/>
        <v>4</v>
      </c>
      <c r="L5" s="32" t="s">
        <v>14</v>
      </c>
      <c r="M5" s="22">
        <f t="shared" si="8"/>
        <v>1</v>
      </c>
      <c r="N5" s="32" t="s">
        <v>15</v>
      </c>
      <c r="O5" s="22">
        <f t="shared" si="9"/>
        <v>-1</v>
      </c>
      <c r="P5" s="32" t="s">
        <v>16</v>
      </c>
      <c r="Q5" s="22">
        <f t="shared" si="10"/>
        <v>1</v>
      </c>
      <c r="R5" s="22">
        <f t="shared" si="11"/>
        <v>0</v>
      </c>
      <c r="S5" s="22">
        <f t="shared" si="12"/>
        <v>1</v>
      </c>
      <c r="T5" s="22">
        <f t="shared" si="13"/>
        <v>0</v>
      </c>
      <c r="U5" s="22">
        <f t="shared" si="14"/>
        <v>0</v>
      </c>
      <c r="V5" s="22">
        <f t="shared" si="15"/>
        <v>1</v>
      </c>
      <c r="W5" s="32" t="s">
        <v>17</v>
      </c>
      <c r="X5" s="22">
        <f t="shared" si="16"/>
        <v>1</v>
      </c>
      <c r="Y5" s="22">
        <f t="shared" si="17"/>
        <v>1</v>
      </c>
      <c r="Z5" s="22">
        <f t="shared" si="18"/>
        <v>1</v>
      </c>
      <c r="AA5" s="22">
        <f t="shared" si="19"/>
        <v>1</v>
      </c>
      <c r="AB5" s="22">
        <f t="shared" si="20"/>
        <v>0</v>
      </c>
      <c r="AC5" s="22">
        <f t="shared" si="21"/>
        <v>0</v>
      </c>
      <c r="AD5" s="32" t="s">
        <v>33</v>
      </c>
      <c r="AE5" s="23">
        <f t="shared" si="22"/>
        <v>74.095326836879309</v>
      </c>
      <c r="AF5" s="24" t="s">
        <v>88</v>
      </c>
      <c r="AG5" s="22">
        <f t="shared" si="23"/>
        <v>1</v>
      </c>
      <c r="AH5" s="35"/>
      <c r="AI5" s="23">
        <f t="shared" si="24"/>
        <v>13.83296193423843</v>
      </c>
      <c r="AJ5" s="24" t="s">
        <v>101</v>
      </c>
      <c r="AK5" s="22">
        <f t="shared" si="25"/>
        <v>0</v>
      </c>
      <c r="AL5" s="32" t="s">
        <v>33</v>
      </c>
      <c r="AM5" s="23">
        <f t="shared" si="26"/>
        <v>77.547663418439654</v>
      </c>
      <c r="AN5" s="24" t="s">
        <v>88</v>
      </c>
      <c r="AO5" s="22">
        <f t="shared" si="27"/>
        <v>-1</v>
      </c>
      <c r="AP5" s="35"/>
      <c r="AQ5" s="23">
        <f t="shared" si="28"/>
        <v>13.552385147060363</v>
      </c>
      <c r="AR5" s="24" t="s">
        <v>101</v>
      </c>
      <c r="AS5" s="22">
        <f t="shared" si="29"/>
        <v>0</v>
      </c>
      <c r="AT5" s="34">
        <f t="shared" si="30"/>
        <v>7</v>
      </c>
    </row>
    <row r="6" spans="1:46" ht="13.15" x14ac:dyDescent="0.4">
      <c r="A6" s="30">
        <v>5</v>
      </c>
      <c r="B6" s="31">
        <v>44110.420925393519</v>
      </c>
      <c r="C6" s="32" t="s">
        <v>34</v>
      </c>
      <c r="D6" s="32" t="s">
        <v>35</v>
      </c>
      <c r="E6" s="33">
        <v>310666</v>
      </c>
      <c r="F6" s="21">
        <f t="shared" si="2"/>
        <v>3</v>
      </c>
      <c r="G6" s="21">
        <f t="shared" si="3"/>
        <v>1</v>
      </c>
      <c r="H6" s="21">
        <f t="shared" si="4"/>
        <v>0</v>
      </c>
      <c r="I6" s="21">
        <f t="shared" si="5"/>
        <v>6</v>
      </c>
      <c r="J6" s="21">
        <f t="shared" si="6"/>
        <v>6</v>
      </c>
      <c r="K6" s="21">
        <f t="shared" si="7"/>
        <v>6</v>
      </c>
      <c r="L6" s="32" t="s">
        <v>14</v>
      </c>
      <c r="M6" s="22">
        <f t="shared" si="8"/>
        <v>1</v>
      </c>
      <c r="N6" s="32" t="s">
        <v>15</v>
      </c>
      <c r="O6" s="22">
        <f t="shared" si="9"/>
        <v>-1</v>
      </c>
      <c r="P6" s="32" t="s">
        <v>16</v>
      </c>
      <c r="Q6" s="22">
        <f t="shared" si="10"/>
        <v>1</v>
      </c>
      <c r="R6" s="22">
        <f t="shared" si="11"/>
        <v>0</v>
      </c>
      <c r="S6" s="22">
        <f t="shared" si="12"/>
        <v>1</v>
      </c>
      <c r="T6" s="22">
        <f t="shared" si="13"/>
        <v>0</v>
      </c>
      <c r="U6" s="22">
        <f t="shared" si="14"/>
        <v>0</v>
      </c>
      <c r="V6" s="22">
        <f t="shared" si="15"/>
        <v>1</v>
      </c>
      <c r="W6" s="32" t="s">
        <v>17</v>
      </c>
      <c r="X6" s="22">
        <f t="shared" si="16"/>
        <v>1</v>
      </c>
      <c r="Y6" s="22">
        <f t="shared" si="17"/>
        <v>1</v>
      </c>
      <c r="Z6" s="22">
        <f t="shared" si="18"/>
        <v>1</v>
      </c>
      <c r="AA6" s="22">
        <f t="shared" si="19"/>
        <v>1</v>
      </c>
      <c r="AB6" s="22">
        <f t="shared" si="20"/>
        <v>0</v>
      </c>
      <c r="AC6" s="22">
        <f t="shared" si="21"/>
        <v>0</v>
      </c>
      <c r="AD6" s="32" t="s">
        <v>36</v>
      </c>
      <c r="AE6" s="23">
        <f t="shared" si="22"/>
        <v>78.956349637772746</v>
      </c>
      <c r="AF6" s="24" t="s">
        <v>88</v>
      </c>
      <c r="AG6" s="22">
        <f t="shared" si="23"/>
        <v>1</v>
      </c>
      <c r="AH6" s="32" t="s">
        <v>37</v>
      </c>
      <c r="AI6" s="23">
        <f t="shared" si="24"/>
        <v>15.037438299435248</v>
      </c>
      <c r="AJ6" s="24" t="s">
        <v>101</v>
      </c>
      <c r="AK6" s="22">
        <f t="shared" si="25"/>
        <v>1</v>
      </c>
      <c r="AL6" s="32" t="s">
        <v>38</v>
      </c>
      <c r="AM6" s="23">
        <f t="shared" si="26"/>
        <v>82.478174818886373</v>
      </c>
      <c r="AN6" s="24" t="s">
        <v>88</v>
      </c>
      <c r="AO6" s="22">
        <f t="shared" si="27"/>
        <v>1</v>
      </c>
      <c r="AP6" s="32" t="s">
        <v>39</v>
      </c>
      <c r="AQ6" s="23">
        <f t="shared" si="28"/>
        <v>15.719185488912157</v>
      </c>
      <c r="AR6" s="24" t="s">
        <v>101</v>
      </c>
      <c r="AS6" s="22">
        <f t="shared" si="29"/>
        <v>1</v>
      </c>
      <c r="AT6" s="34">
        <f t="shared" si="30"/>
        <v>11</v>
      </c>
    </row>
    <row r="7" spans="1:46" ht="13.15" x14ac:dyDescent="0.4">
      <c r="A7" s="30">
        <v>6</v>
      </c>
      <c r="B7" s="31">
        <v>44110.421575879634</v>
      </c>
      <c r="C7" s="32" t="s">
        <v>40</v>
      </c>
      <c r="D7" s="32" t="s">
        <v>41</v>
      </c>
      <c r="E7" s="33">
        <v>324260</v>
      </c>
      <c r="F7" s="21">
        <f t="shared" si="2"/>
        <v>3</v>
      </c>
      <c r="G7" s="21">
        <f t="shared" si="3"/>
        <v>2</v>
      </c>
      <c r="H7" s="21">
        <f t="shared" si="4"/>
        <v>4</v>
      </c>
      <c r="I7" s="21">
        <f t="shared" si="5"/>
        <v>2</v>
      </c>
      <c r="J7" s="21">
        <f t="shared" si="6"/>
        <v>6</v>
      </c>
      <c r="K7" s="21">
        <f t="shared" si="7"/>
        <v>0</v>
      </c>
      <c r="L7" s="32" t="s">
        <v>14</v>
      </c>
      <c r="M7" s="22">
        <f t="shared" si="8"/>
        <v>1</v>
      </c>
      <c r="N7" s="32" t="s">
        <v>42</v>
      </c>
      <c r="O7" s="22">
        <v>0</v>
      </c>
      <c r="P7" s="32" t="s">
        <v>16</v>
      </c>
      <c r="Q7" s="22">
        <f t="shared" si="10"/>
        <v>1</v>
      </c>
      <c r="R7" s="22">
        <f t="shared" si="11"/>
        <v>0</v>
      </c>
      <c r="S7" s="22">
        <f t="shared" si="12"/>
        <v>1</v>
      </c>
      <c r="T7" s="22">
        <f t="shared" si="13"/>
        <v>0</v>
      </c>
      <c r="U7" s="22">
        <f t="shared" si="14"/>
        <v>0</v>
      </c>
      <c r="V7" s="22">
        <f t="shared" si="15"/>
        <v>1</v>
      </c>
      <c r="W7" s="32" t="s">
        <v>17</v>
      </c>
      <c r="X7" s="22">
        <f t="shared" si="16"/>
        <v>1</v>
      </c>
      <c r="Y7" s="22">
        <f t="shared" si="17"/>
        <v>1</v>
      </c>
      <c r="Z7" s="22">
        <f t="shared" si="18"/>
        <v>1</v>
      </c>
      <c r="AA7" s="22">
        <f t="shared" si="19"/>
        <v>1</v>
      </c>
      <c r="AB7" s="22">
        <f t="shared" si="20"/>
        <v>0</v>
      </c>
      <c r="AC7" s="22">
        <f t="shared" si="21"/>
        <v>0</v>
      </c>
      <c r="AD7" s="32" t="s">
        <v>43</v>
      </c>
      <c r="AE7" s="23">
        <f t="shared" si="22"/>
        <v>75.897000433601875</v>
      </c>
      <c r="AF7" s="24" t="s">
        <v>88</v>
      </c>
      <c r="AG7" s="22">
        <f t="shared" si="23"/>
        <v>1</v>
      </c>
      <c r="AH7" s="32" t="s">
        <v>44</v>
      </c>
      <c r="AI7" s="23">
        <f t="shared" si="24"/>
        <v>11.826964886875274</v>
      </c>
      <c r="AJ7" s="24" t="s">
        <v>101</v>
      </c>
      <c r="AK7" s="22">
        <f t="shared" si="25"/>
        <v>-1</v>
      </c>
      <c r="AL7" s="32" t="s">
        <v>45</v>
      </c>
      <c r="AM7" s="23">
        <f t="shared" si="26"/>
        <v>80.948500216800937</v>
      </c>
      <c r="AN7" s="24" t="s">
        <v>88</v>
      </c>
      <c r="AO7" s="22">
        <f t="shared" si="27"/>
        <v>1</v>
      </c>
      <c r="AP7" s="35"/>
      <c r="AQ7" s="23">
        <f t="shared" si="28"/>
        <v>12.291090103702144</v>
      </c>
      <c r="AR7" s="24" t="s">
        <v>101</v>
      </c>
      <c r="AS7" s="22">
        <f t="shared" si="29"/>
        <v>0</v>
      </c>
      <c r="AT7" s="34">
        <f t="shared" si="30"/>
        <v>9</v>
      </c>
    </row>
    <row r="8" spans="1:46" s="1" customFormat="1" ht="13.5" thickBot="1" x14ac:dyDescent="0.45">
      <c r="A8" s="36">
        <v>7</v>
      </c>
      <c r="B8" s="37">
        <v>44110.422242083332</v>
      </c>
      <c r="C8" s="38" t="s">
        <v>46</v>
      </c>
      <c r="D8" s="38" t="s">
        <v>47</v>
      </c>
      <c r="E8" s="39">
        <v>0</v>
      </c>
      <c r="F8" s="40">
        <f t="shared" si="2"/>
        <v>0</v>
      </c>
      <c r="G8" s="40">
        <f t="shared" si="3"/>
        <v>0</v>
      </c>
      <c r="H8" s="40">
        <f t="shared" si="4"/>
        <v>0</v>
      </c>
      <c r="I8" s="40">
        <f t="shared" si="5"/>
        <v>0</v>
      </c>
      <c r="J8" s="40">
        <f t="shared" si="6"/>
        <v>0</v>
      </c>
      <c r="K8" s="40">
        <f t="shared" si="7"/>
        <v>0</v>
      </c>
      <c r="L8" s="38" t="s">
        <v>49</v>
      </c>
      <c r="M8" s="41">
        <f t="shared" si="8"/>
        <v>-1</v>
      </c>
      <c r="N8" s="38" t="s">
        <v>15</v>
      </c>
      <c r="O8" s="41">
        <f t="shared" si="9"/>
        <v>-1</v>
      </c>
      <c r="P8" s="38" t="s">
        <v>50</v>
      </c>
      <c r="Q8" s="41">
        <f t="shared" si="10"/>
        <v>0</v>
      </c>
      <c r="R8" s="41">
        <f t="shared" si="11"/>
        <v>-1</v>
      </c>
      <c r="S8" s="41">
        <f t="shared" si="12"/>
        <v>0</v>
      </c>
      <c r="T8" s="41">
        <f t="shared" si="13"/>
        <v>0</v>
      </c>
      <c r="U8" s="41">
        <f t="shared" si="14"/>
        <v>0</v>
      </c>
      <c r="V8" s="41">
        <f t="shared" si="15"/>
        <v>0</v>
      </c>
      <c r="W8" s="38" t="s">
        <v>51</v>
      </c>
      <c r="X8" s="41">
        <f t="shared" si="16"/>
        <v>0</v>
      </c>
      <c r="Y8" s="41">
        <f t="shared" si="17"/>
        <v>1</v>
      </c>
      <c r="Z8" s="41">
        <f t="shared" si="18"/>
        <v>0</v>
      </c>
      <c r="AA8" s="41">
        <f t="shared" si="19"/>
        <v>1</v>
      </c>
      <c r="AB8" s="41">
        <f t="shared" si="20"/>
        <v>0</v>
      </c>
      <c r="AC8" s="41">
        <f t="shared" si="21"/>
        <v>0</v>
      </c>
      <c r="AD8" s="38" t="s">
        <v>52</v>
      </c>
      <c r="AE8" s="42">
        <f t="shared" si="22"/>
        <v>70.457574905606748</v>
      </c>
      <c r="AF8" s="43" t="s">
        <v>88</v>
      </c>
      <c r="AG8" s="41">
        <v>0</v>
      </c>
      <c r="AH8" s="44"/>
      <c r="AI8" s="42">
        <f t="shared" si="24"/>
        <v>11.306632184348373</v>
      </c>
      <c r="AJ8" s="43" t="s">
        <v>101</v>
      </c>
      <c r="AK8" s="41">
        <f t="shared" si="25"/>
        <v>0</v>
      </c>
      <c r="AL8" s="44"/>
      <c r="AM8" s="42">
        <f t="shared" si="26"/>
        <v>75.228787452803374</v>
      </c>
      <c r="AN8" s="43" t="s">
        <v>88</v>
      </c>
      <c r="AO8" s="41">
        <f t="shared" si="27"/>
        <v>0</v>
      </c>
      <c r="AP8" s="44"/>
      <c r="AQ8" s="42">
        <f t="shared" si="28"/>
        <v>10.657436577571671</v>
      </c>
      <c r="AR8" s="43" t="s">
        <v>101</v>
      </c>
      <c r="AS8" s="41">
        <f t="shared" si="29"/>
        <v>0</v>
      </c>
      <c r="AT8" s="45">
        <f t="shared" si="30"/>
        <v>-1</v>
      </c>
    </row>
    <row r="9" spans="1:46" ht="15.75" customHeight="1" thickTop="1" x14ac:dyDescent="0.35"/>
  </sheetData>
  <conditionalFormatting sqref="M2:M8">
    <cfRule type="cellIs" dxfId="29" priority="29" operator="lessThan">
      <formula>0</formula>
    </cfRule>
  </conditionalFormatting>
  <conditionalFormatting sqref="M2:M8">
    <cfRule type="containsText" dxfId="28" priority="30" operator="containsText" text=",">
      <formula>NOT(ISERROR(SEARCH(",",M2)))</formula>
    </cfRule>
  </conditionalFormatting>
  <conditionalFormatting sqref="M2:M8">
    <cfRule type="cellIs" dxfId="27" priority="28" operator="equal">
      <formula>0</formula>
    </cfRule>
  </conditionalFormatting>
  <conditionalFormatting sqref="O2:O8">
    <cfRule type="cellIs" dxfId="26" priority="26" operator="lessThan">
      <formula>0</formula>
    </cfRule>
  </conditionalFormatting>
  <conditionalFormatting sqref="O2:O8">
    <cfRule type="containsText" dxfId="25" priority="27" operator="containsText" text=",">
      <formula>NOT(ISERROR(SEARCH(",",O2)))</formula>
    </cfRule>
  </conditionalFormatting>
  <conditionalFormatting sqref="O2:O8">
    <cfRule type="cellIs" dxfId="24" priority="25" operator="equal">
      <formula>0</formula>
    </cfRule>
  </conditionalFormatting>
  <conditionalFormatting sqref="V2:V8">
    <cfRule type="cellIs" dxfId="23" priority="20" operator="lessThan">
      <formula>0</formula>
    </cfRule>
  </conditionalFormatting>
  <conditionalFormatting sqref="V2:V8">
    <cfRule type="containsText" dxfId="22" priority="21" operator="containsText" text=",">
      <formula>NOT(ISERROR(SEARCH(",",V2)))</formula>
    </cfRule>
  </conditionalFormatting>
  <conditionalFormatting sqref="V2:V8">
    <cfRule type="cellIs" dxfId="21" priority="19" operator="equal">
      <formula>0</formula>
    </cfRule>
  </conditionalFormatting>
  <conditionalFormatting sqref="Q2:U8">
    <cfRule type="cellIs" dxfId="20" priority="23" operator="lessThan">
      <formula>0</formula>
    </cfRule>
  </conditionalFormatting>
  <conditionalFormatting sqref="Q2:U8">
    <cfRule type="containsText" dxfId="19" priority="24" operator="containsText" text=",">
      <formula>NOT(ISERROR(SEARCH(",",Q2)))</formula>
    </cfRule>
  </conditionalFormatting>
  <conditionalFormatting sqref="Q2:U8">
    <cfRule type="cellIs" dxfId="18" priority="22" operator="equal">
      <formula>0</formula>
    </cfRule>
  </conditionalFormatting>
  <conditionalFormatting sqref="AC2:AC8">
    <cfRule type="cellIs" dxfId="17" priority="14" operator="lessThan">
      <formula>0</formula>
    </cfRule>
  </conditionalFormatting>
  <conditionalFormatting sqref="AC2:AC8">
    <cfRule type="containsText" dxfId="16" priority="15" operator="containsText" text=",">
      <formula>NOT(ISERROR(SEARCH(",",AC2)))</formula>
    </cfRule>
  </conditionalFormatting>
  <conditionalFormatting sqref="AC2:AC8">
    <cfRule type="cellIs" dxfId="15" priority="13" operator="equal">
      <formula>0</formula>
    </cfRule>
  </conditionalFormatting>
  <conditionalFormatting sqref="AG2:AG8">
    <cfRule type="cellIs" dxfId="14" priority="11" operator="lessThan">
      <formula>0</formula>
    </cfRule>
  </conditionalFormatting>
  <conditionalFormatting sqref="AG2:AG8">
    <cfRule type="containsText" dxfId="13" priority="12" operator="containsText" text=",">
      <formula>NOT(ISERROR(SEARCH(",",AG2)))</formula>
    </cfRule>
  </conditionalFormatting>
  <conditionalFormatting sqref="AG2:AG8">
    <cfRule type="cellIs" dxfId="12" priority="10" operator="equal">
      <formula>0</formula>
    </cfRule>
  </conditionalFormatting>
  <conditionalFormatting sqref="X2:AB8">
    <cfRule type="cellIs" dxfId="11" priority="17" operator="lessThan">
      <formula>0</formula>
    </cfRule>
  </conditionalFormatting>
  <conditionalFormatting sqref="X2:AB8">
    <cfRule type="containsText" dxfId="10" priority="18" operator="containsText" text=",">
      <formula>NOT(ISERROR(SEARCH(",",X2)))</formula>
    </cfRule>
  </conditionalFormatting>
  <conditionalFormatting sqref="X2:AB8">
    <cfRule type="cellIs" dxfId="9" priority="16" operator="equal">
      <formula>0</formula>
    </cfRule>
  </conditionalFormatting>
  <conditionalFormatting sqref="AO2:AO8">
    <cfRule type="cellIs" dxfId="8" priority="8" operator="lessThan">
      <formula>0</formula>
    </cfRule>
  </conditionalFormatting>
  <conditionalFormatting sqref="AO2:AO8">
    <cfRule type="containsText" dxfId="7" priority="9" operator="containsText" text=",">
      <formula>NOT(ISERROR(SEARCH(",",AO2)))</formula>
    </cfRule>
  </conditionalFormatting>
  <conditionalFormatting sqref="AO2:AO8">
    <cfRule type="cellIs" dxfId="6" priority="7" operator="equal">
      <formula>0</formula>
    </cfRule>
  </conditionalFormatting>
  <conditionalFormatting sqref="AK2:AK8">
    <cfRule type="cellIs" dxfId="5" priority="5" operator="lessThan">
      <formula>0</formula>
    </cfRule>
  </conditionalFormatting>
  <conditionalFormatting sqref="AK2:AK8">
    <cfRule type="containsText" dxfId="4" priority="6" operator="containsText" text=",">
      <formula>NOT(ISERROR(SEARCH(",",AK2)))</formula>
    </cfRule>
  </conditionalFormatting>
  <conditionalFormatting sqref="AK2:AK8">
    <cfRule type="cellIs" dxfId="3" priority="4" operator="equal">
      <formula>0</formula>
    </cfRule>
  </conditionalFormatting>
  <conditionalFormatting sqref="AS2:AS8">
    <cfRule type="cellIs" dxfId="2" priority="2" operator="lessThan">
      <formula>0</formula>
    </cfRule>
  </conditionalFormatting>
  <conditionalFormatting sqref="AS2:AS8">
    <cfRule type="containsText" dxfId="1" priority="3" operator="containsText" text=",">
      <formula>NOT(ISERROR(SEARCH(",",AS2)))</formula>
    </cfRule>
  </conditionalFormatting>
  <conditionalFormatting sqref="AS2:AS8">
    <cfRule type="cellIs" dxfId="0" priority="1" operator="equal">
      <formula>0</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4F24A-31D0-4824-AD0F-A2010D4D2F7F}">
  <dimension ref="A1:R59"/>
  <sheetViews>
    <sheetView topLeftCell="A28" workbookViewId="0">
      <selection activeCell="L49" sqref="L49"/>
    </sheetView>
  </sheetViews>
  <sheetFormatPr defaultRowHeight="12.75" x14ac:dyDescent="0.35"/>
  <sheetData>
    <row r="1" spans="1:16" x14ac:dyDescent="0.35">
      <c r="A1" t="s">
        <v>53</v>
      </c>
    </row>
    <row r="3" spans="1:16" ht="13.15" thickBot="1" x14ac:dyDescent="0.4">
      <c r="A3" t="s">
        <v>54</v>
      </c>
    </row>
    <row r="4" spans="1:16" x14ac:dyDescent="0.35">
      <c r="A4" s="2" t="s">
        <v>55</v>
      </c>
      <c r="B4" s="3" t="s">
        <v>56</v>
      </c>
      <c r="C4" s="3" t="s">
        <v>48</v>
      </c>
      <c r="D4" s="3" t="s">
        <v>57</v>
      </c>
      <c r="E4" s="3" t="s">
        <v>58</v>
      </c>
      <c r="F4" s="4" t="s">
        <v>59</v>
      </c>
    </row>
    <row r="5" spans="1:16" ht="13.15" thickBot="1" x14ac:dyDescent="0.4">
      <c r="A5" s="5">
        <v>1</v>
      </c>
      <c r="B5" s="6">
        <v>2</v>
      </c>
      <c r="C5" s="6">
        <v>3</v>
      </c>
      <c r="D5" s="6">
        <v>4</v>
      </c>
      <c r="E5" s="6">
        <v>5</v>
      </c>
      <c r="F5" s="7">
        <v>6</v>
      </c>
    </row>
    <row r="7" spans="1:16" ht="14.25" x14ac:dyDescent="0.35">
      <c r="A7" s="8" t="s">
        <v>4</v>
      </c>
    </row>
    <row r="8" spans="1:16" ht="14.25" x14ac:dyDescent="0.35">
      <c r="A8" s="9" t="s">
        <v>60</v>
      </c>
    </row>
    <row r="9" spans="1:16" ht="14.25" x14ac:dyDescent="0.35">
      <c r="A9" s="10" t="s">
        <v>61</v>
      </c>
    </row>
    <row r="10" spans="1:16" ht="14.25" x14ac:dyDescent="0.35">
      <c r="A10" s="11" t="s">
        <v>62</v>
      </c>
      <c r="B10" s="12"/>
      <c r="C10" s="12"/>
      <c r="D10" s="12"/>
      <c r="E10" s="12"/>
      <c r="F10" s="12"/>
      <c r="G10" s="12"/>
      <c r="H10" s="12"/>
      <c r="I10" s="12"/>
      <c r="J10" s="12"/>
      <c r="K10" s="12"/>
      <c r="L10" s="12"/>
      <c r="M10" s="12"/>
      <c r="N10" s="12"/>
      <c r="O10" s="12"/>
      <c r="P10" s="12"/>
    </row>
    <row r="11" spans="1:16" ht="14.25" x14ac:dyDescent="0.35">
      <c r="A11" s="10" t="s">
        <v>63</v>
      </c>
    </row>
    <row r="12" spans="1:16" ht="14.25" x14ac:dyDescent="0.35">
      <c r="A12" s="10" t="s">
        <v>64</v>
      </c>
    </row>
    <row r="13" spans="1:16" ht="14.25" x14ac:dyDescent="0.35">
      <c r="A13" s="10" t="s">
        <v>65</v>
      </c>
    </row>
    <row r="14" spans="1:16" ht="14.25" x14ac:dyDescent="0.35">
      <c r="A14" s="10" t="s">
        <v>66</v>
      </c>
    </row>
    <row r="15" spans="1:16" ht="14.25" x14ac:dyDescent="0.35">
      <c r="A15" s="8"/>
    </row>
    <row r="16" spans="1:16" ht="14.25" x14ac:dyDescent="0.35">
      <c r="A16" s="8" t="s">
        <v>5</v>
      </c>
    </row>
    <row r="17" spans="1:18" ht="14.25" x14ac:dyDescent="0.35">
      <c r="A17" s="9" t="s">
        <v>60</v>
      </c>
    </row>
    <row r="18" spans="1:18" ht="14.25" x14ac:dyDescent="0.35">
      <c r="A18" s="10" t="s">
        <v>67</v>
      </c>
    </row>
    <row r="19" spans="1:18" ht="14.25" x14ac:dyDescent="0.35">
      <c r="A19" s="10" t="s">
        <v>68</v>
      </c>
    </row>
    <row r="20" spans="1:18" ht="14.25" x14ac:dyDescent="0.35">
      <c r="A20" s="10" t="s">
        <v>69</v>
      </c>
    </row>
    <row r="21" spans="1:18" ht="14.25" x14ac:dyDescent="0.35">
      <c r="A21" s="11" t="s">
        <v>70</v>
      </c>
      <c r="B21" s="12"/>
      <c r="C21" s="12"/>
      <c r="D21" s="12"/>
      <c r="E21" s="12"/>
      <c r="F21" s="12"/>
      <c r="G21" s="12"/>
      <c r="H21" s="12"/>
      <c r="I21" s="12"/>
      <c r="J21" s="12"/>
      <c r="K21" s="12"/>
      <c r="L21" s="12"/>
      <c r="M21" s="12"/>
      <c r="N21" s="12"/>
      <c r="O21" s="12"/>
      <c r="P21" s="12"/>
      <c r="Q21" s="12"/>
      <c r="R21" s="12"/>
    </row>
    <row r="22" spans="1:18" ht="14.25" x14ac:dyDescent="0.35">
      <c r="A22" s="10" t="s">
        <v>71</v>
      </c>
    </row>
    <row r="23" spans="1:18" ht="14.25" x14ac:dyDescent="0.35">
      <c r="A23" s="10" t="s">
        <v>66</v>
      </c>
    </row>
    <row r="24" spans="1:18" ht="13.5" x14ac:dyDescent="0.35">
      <c r="A24" s="10"/>
    </row>
    <row r="25" spans="1:18" ht="14.25" x14ac:dyDescent="0.35">
      <c r="A25" s="8" t="s">
        <v>6</v>
      </c>
    </row>
    <row r="26" spans="1:18" ht="14.25" x14ac:dyDescent="0.35">
      <c r="A26" s="9" t="s">
        <v>72</v>
      </c>
    </row>
    <row r="27" spans="1:18" ht="14.25" x14ac:dyDescent="0.35">
      <c r="A27" s="11" t="s">
        <v>73</v>
      </c>
      <c r="B27" s="12"/>
      <c r="C27" s="12"/>
      <c r="D27" s="12"/>
      <c r="E27" s="12"/>
      <c r="F27" s="12"/>
      <c r="G27" s="12"/>
      <c r="H27" s="12"/>
      <c r="I27" s="12"/>
      <c r="J27" s="12"/>
    </row>
    <row r="28" spans="1:18" ht="14.25" x14ac:dyDescent="0.35">
      <c r="A28" s="10" t="s">
        <v>74</v>
      </c>
    </row>
    <row r="29" spans="1:18" ht="14.25" x14ac:dyDescent="0.35">
      <c r="A29" s="11" t="s">
        <v>75</v>
      </c>
      <c r="B29" s="12"/>
      <c r="C29" s="12"/>
      <c r="D29" s="12"/>
      <c r="E29" s="12"/>
      <c r="F29" s="12"/>
      <c r="G29" s="12"/>
      <c r="H29" s="12"/>
      <c r="I29" s="12"/>
      <c r="J29" s="12"/>
    </row>
    <row r="30" spans="1:18" ht="14.25" x14ac:dyDescent="0.35">
      <c r="A30" s="10" t="s">
        <v>76</v>
      </c>
    </row>
    <row r="31" spans="1:18" ht="14.25" x14ac:dyDescent="0.35">
      <c r="A31" s="10" t="s">
        <v>77</v>
      </c>
    </row>
    <row r="32" spans="1:18" ht="14.25" x14ac:dyDescent="0.35">
      <c r="A32" s="11" t="s">
        <v>78</v>
      </c>
      <c r="B32" s="12"/>
      <c r="C32" s="12"/>
      <c r="D32" s="12"/>
      <c r="E32" s="12"/>
      <c r="F32" s="12"/>
      <c r="G32" s="12"/>
      <c r="H32" s="12"/>
      <c r="I32" s="12"/>
      <c r="J32" s="12"/>
    </row>
    <row r="33" spans="1:11" ht="13.5" x14ac:dyDescent="0.35">
      <c r="A33" s="10"/>
    </row>
    <row r="34" spans="1:11" ht="14.25" x14ac:dyDescent="0.35">
      <c r="A34" s="8" t="s">
        <v>7</v>
      </c>
    </row>
    <row r="35" spans="1:11" ht="14.25" x14ac:dyDescent="0.35">
      <c r="A35" s="9" t="s">
        <v>72</v>
      </c>
    </row>
    <row r="36" spans="1:11" ht="14.25" x14ac:dyDescent="0.35">
      <c r="A36" s="11" t="s">
        <v>79</v>
      </c>
      <c r="B36" s="12"/>
      <c r="C36" s="12"/>
      <c r="D36" s="12"/>
      <c r="E36" s="12"/>
      <c r="F36" s="12"/>
    </row>
    <row r="37" spans="1:11" ht="14.25" x14ac:dyDescent="0.35">
      <c r="A37" s="11" t="s">
        <v>80</v>
      </c>
      <c r="B37" s="12"/>
      <c r="C37" s="12"/>
      <c r="D37" s="12"/>
      <c r="E37" s="12"/>
      <c r="F37" s="12"/>
    </row>
    <row r="38" spans="1:11" ht="14.25" x14ac:dyDescent="0.35">
      <c r="A38" s="11" t="s">
        <v>81</v>
      </c>
      <c r="B38" s="12"/>
      <c r="C38" s="12"/>
      <c r="D38" s="12"/>
      <c r="E38" s="12"/>
      <c r="F38" s="12"/>
    </row>
    <row r="39" spans="1:11" ht="14.25" x14ac:dyDescent="0.35">
      <c r="A39" s="11" t="s">
        <v>82</v>
      </c>
      <c r="B39" s="12"/>
      <c r="C39" s="12"/>
      <c r="D39" s="12"/>
      <c r="E39" s="12"/>
      <c r="F39" s="12"/>
    </row>
    <row r="40" spans="1:11" ht="14.25" x14ac:dyDescent="0.35">
      <c r="A40" s="10" t="s">
        <v>83</v>
      </c>
    </row>
    <row r="41" spans="1:11" ht="14.25" x14ac:dyDescent="0.35">
      <c r="A41" s="10" t="s">
        <v>84</v>
      </c>
    </row>
    <row r="42" spans="1:11" ht="13.5" x14ac:dyDescent="0.35">
      <c r="A42" s="10"/>
    </row>
    <row r="43" spans="1:11" ht="43.15" customHeight="1" x14ac:dyDescent="0.35">
      <c r="A43" s="19" t="s">
        <v>8</v>
      </c>
      <c r="B43" s="20"/>
      <c r="C43" s="20"/>
      <c r="D43" s="20"/>
      <c r="E43" s="20"/>
      <c r="F43" s="20"/>
      <c r="G43" s="20"/>
      <c r="H43" s="20"/>
      <c r="I43" s="20"/>
      <c r="J43" s="20"/>
      <c r="K43" s="20"/>
    </row>
    <row r="44" spans="1:11" ht="14.65" thickBot="1" x14ac:dyDescent="0.4">
      <c r="A44" s="9" t="s">
        <v>85</v>
      </c>
      <c r="E44" s="13" t="s">
        <v>89</v>
      </c>
      <c r="F44">
        <f>10+F</f>
        <v>16</v>
      </c>
      <c r="G44" s="13" t="s">
        <v>87</v>
      </c>
      <c r="H44" s="13" t="s">
        <v>90</v>
      </c>
      <c r="I44" s="14">
        <f>80+E</f>
        <v>85</v>
      </c>
      <c r="J44" s="13" t="s">
        <v>88</v>
      </c>
    </row>
    <row r="45" spans="1:11" ht="14.65" thickBot="1" x14ac:dyDescent="0.45">
      <c r="A45" s="9"/>
      <c r="E45" s="13" t="s">
        <v>91</v>
      </c>
      <c r="F45">
        <f>30+D</f>
        <v>34</v>
      </c>
      <c r="G45" s="13" t="s">
        <v>87</v>
      </c>
      <c r="H45" s="15" t="s">
        <v>92</v>
      </c>
      <c r="I45" s="16">
        <f>SPL_1+20*LOG10(d_1/d_2)</f>
        <v>78.452821312273386</v>
      </c>
      <c r="J45" s="17" t="s">
        <v>88</v>
      </c>
    </row>
    <row r="46" spans="1:11" ht="14.25" x14ac:dyDescent="0.35">
      <c r="A46" s="9"/>
    </row>
    <row r="47" spans="1:11" ht="32.65" customHeight="1" x14ac:dyDescent="0.35">
      <c r="A47" s="19" t="s">
        <v>86</v>
      </c>
      <c r="B47" s="20"/>
      <c r="C47" s="20"/>
      <c r="D47" s="20"/>
      <c r="E47" s="20"/>
      <c r="F47" s="20"/>
      <c r="G47" s="20"/>
      <c r="H47" s="20"/>
      <c r="I47" s="20"/>
      <c r="J47" s="20"/>
      <c r="K47" s="20"/>
    </row>
    <row r="48" spans="1:11" ht="14.25" x14ac:dyDescent="0.35">
      <c r="A48" s="9" t="s">
        <v>85</v>
      </c>
      <c r="E48" s="13" t="s">
        <v>93</v>
      </c>
      <c r="F48">
        <f>2+F/4</f>
        <v>3.5</v>
      </c>
      <c r="G48" s="13" t="s">
        <v>87</v>
      </c>
      <c r="H48" s="13" t="s">
        <v>94</v>
      </c>
      <c r="I48">
        <f>300+E*10</f>
        <v>350</v>
      </c>
      <c r="J48" s="13" t="s">
        <v>95</v>
      </c>
    </row>
    <row r="49" spans="1:13" ht="14.65" thickBot="1" x14ac:dyDescent="0.4">
      <c r="A49" s="9"/>
      <c r="E49" s="13" t="s">
        <v>96</v>
      </c>
      <c r="F49">
        <f>SQRT(d_1^2+h_eff^2)</f>
        <v>16.378339354159198</v>
      </c>
      <c r="G49" s="18" t="s">
        <v>87</v>
      </c>
      <c r="H49" s="18" t="s">
        <v>97</v>
      </c>
      <c r="I49">
        <f>SQRT((d_2-d_1)^2+h_eff^2)</f>
        <v>18.337120820892249</v>
      </c>
      <c r="J49" s="18" t="s">
        <v>87</v>
      </c>
      <c r="K49" s="18" t="s">
        <v>98</v>
      </c>
      <c r="L49">
        <f>d_2</f>
        <v>34</v>
      </c>
      <c r="M49" s="13" t="s">
        <v>87</v>
      </c>
    </row>
    <row r="50" spans="1:13" ht="16.149999999999999" thickBot="1" x14ac:dyDescent="0.55000000000000004">
      <c r="A50" s="9"/>
      <c r="E50" s="13" t="s">
        <v>99</v>
      </c>
      <c r="F50">
        <f>SC+CR-SR</f>
        <v>0.71546017505144732</v>
      </c>
      <c r="G50" s="18" t="s">
        <v>87</v>
      </c>
      <c r="H50" s="18" t="s">
        <v>100</v>
      </c>
      <c r="I50">
        <f>2*delta*freq/340</f>
        <v>1.4730062427529798</v>
      </c>
      <c r="K50" s="15" t="s">
        <v>102</v>
      </c>
      <c r="L50" s="16" cm="1">
        <f t="array" ref="L50">10*LOG10(3+20*N)</f>
        <v>15.113501859695457</v>
      </c>
      <c r="M50" s="17" t="s">
        <v>101</v>
      </c>
    </row>
    <row r="51" spans="1:13" ht="14.25" x14ac:dyDescent="0.35">
      <c r="A51" s="9"/>
      <c r="E51" s="13"/>
      <c r="G51" s="18"/>
      <c r="H51" s="18"/>
      <c r="K51" s="13"/>
    </row>
    <row r="52" spans="1:13" ht="43.9" customHeight="1" x14ac:dyDescent="0.35">
      <c r="A52" s="19" t="s">
        <v>10</v>
      </c>
      <c r="B52" s="20"/>
      <c r="C52" s="20"/>
      <c r="D52" s="20"/>
      <c r="E52" s="20"/>
      <c r="F52" s="20"/>
      <c r="G52" s="20"/>
      <c r="H52" s="20"/>
      <c r="I52" s="20"/>
      <c r="J52" s="20"/>
      <c r="K52" s="20"/>
    </row>
    <row r="53" spans="1:13" ht="14.65" thickBot="1" x14ac:dyDescent="0.4">
      <c r="A53" s="9" t="s">
        <v>85</v>
      </c>
      <c r="E53" s="13" t="s">
        <v>89</v>
      </c>
      <c r="F53">
        <f>10+F</f>
        <v>16</v>
      </c>
      <c r="G53" s="13" t="s">
        <v>87</v>
      </c>
      <c r="H53" s="13" t="s">
        <v>90</v>
      </c>
      <c r="I53" s="14">
        <f>80+E</f>
        <v>85</v>
      </c>
      <c r="J53" s="13" t="s">
        <v>88</v>
      </c>
    </row>
    <row r="54" spans="1:13" ht="14.65" thickBot="1" x14ac:dyDescent="0.45">
      <c r="A54" s="9"/>
      <c r="E54" s="13" t="s">
        <v>91</v>
      </c>
      <c r="F54">
        <f>30+D</f>
        <v>34</v>
      </c>
      <c r="G54" s="13" t="s">
        <v>87</v>
      </c>
      <c r="H54" s="15" t="s">
        <v>92</v>
      </c>
      <c r="I54" s="16">
        <f>SPL_1+10*LOG10(d_1/d_2)</f>
        <v>81.726410656136693</v>
      </c>
      <c r="J54" s="17" t="s">
        <v>88</v>
      </c>
    </row>
    <row r="55" spans="1:13" ht="14.25" x14ac:dyDescent="0.35">
      <c r="A55" s="8"/>
    </row>
    <row r="56" spans="1:13" ht="45" customHeight="1" x14ac:dyDescent="0.35">
      <c r="A56" s="19" t="s">
        <v>11</v>
      </c>
      <c r="B56" s="20"/>
      <c r="C56" s="20"/>
      <c r="D56" s="20"/>
      <c r="E56" s="20"/>
      <c r="F56" s="20"/>
      <c r="G56" s="20"/>
      <c r="H56" s="20"/>
      <c r="I56" s="20"/>
      <c r="J56" s="20"/>
      <c r="K56" s="20"/>
    </row>
    <row r="57" spans="1:13" ht="14.25" x14ac:dyDescent="0.35">
      <c r="A57" s="9" t="s">
        <v>85</v>
      </c>
      <c r="E57" s="13" t="s">
        <v>93</v>
      </c>
      <c r="F57">
        <f>2+F/4</f>
        <v>3.5</v>
      </c>
      <c r="G57" s="13" t="s">
        <v>87</v>
      </c>
      <c r="H57" s="13" t="s">
        <v>94</v>
      </c>
      <c r="I57">
        <f>1000+E*100</f>
        <v>1500</v>
      </c>
      <c r="J57" s="13" t="s">
        <v>95</v>
      </c>
    </row>
    <row r="58" spans="1:13" ht="13.15" thickBot="1" x14ac:dyDescent="0.4">
      <c r="E58" s="13" t="s">
        <v>96</v>
      </c>
      <c r="F58">
        <f>SQRT(d_1^2+h_eff^2)</f>
        <v>16.378339354159198</v>
      </c>
      <c r="G58" s="18" t="s">
        <v>87</v>
      </c>
      <c r="H58" s="18" t="s">
        <v>97</v>
      </c>
      <c r="I58">
        <f>SQRT((d_2-d_1)^2+h_eff^2)</f>
        <v>18.337120820892249</v>
      </c>
      <c r="J58" s="18" t="s">
        <v>87</v>
      </c>
      <c r="K58" s="18" t="s">
        <v>98</v>
      </c>
      <c r="L58">
        <f>d_2</f>
        <v>34</v>
      </c>
      <c r="M58" s="13" t="s">
        <v>87</v>
      </c>
    </row>
    <row r="59" spans="1:13" ht="16.149999999999999" thickBot="1" x14ac:dyDescent="0.55000000000000004">
      <c r="E59" s="13" t="s">
        <v>99</v>
      </c>
      <c r="F59">
        <f>SC+CR-SR</f>
        <v>0.71546017505144732</v>
      </c>
      <c r="G59" s="18" t="s">
        <v>87</v>
      </c>
      <c r="H59" s="18" t="s">
        <v>100</v>
      </c>
      <c r="I59">
        <f>2*delta*ff/340</f>
        <v>6.3128838975127701</v>
      </c>
      <c r="K59" s="15" t="s">
        <v>102</v>
      </c>
      <c r="L59" s="16" cm="1">
        <f t="array" ref="L59">10*LOG10(2+5.5*NN)</f>
        <v>15.649128607822586</v>
      </c>
      <c r="M59" s="17" t="s">
        <v>101</v>
      </c>
    </row>
  </sheetData>
  <mergeCells count="4">
    <mergeCell ref="A43:K43"/>
    <mergeCell ref="A47:K47"/>
    <mergeCell ref="A52:K52"/>
    <mergeCell ref="A56:K56"/>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18</vt:i4>
      </vt:variant>
    </vt:vector>
  </HeadingPairs>
  <TitlesOfParts>
    <vt:vector size="20" baseType="lpstr">
      <vt:lpstr>Form responses 1</vt:lpstr>
      <vt:lpstr>Solution</vt:lpstr>
      <vt:lpstr>A</vt:lpstr>
      <vt:lpstr>B</vt:lpstr>
      <vt:lpstr>CC</vt:lpstr>
      <vt:lpstr>CR</vt:lpstr>
      <vt:lpstr>D</vt:lpstr>
      <vt:lpstr>d_1</vt:lpstr>
      <vt:lpstr>d_2</vt:lpstr>
      <vt:lpstr>delta</vt:lpstr>
      <vt:lpstr>E</vt:lpstr>
      <vt:lpstr>F</vt:lpstr>
      <vt:lpstr>ff</vt:lpstr>
      <vt:lpstr>freq</vt:lpstr>
      <vt:lpstr>h_eff</vt:lpstr>
      <vt:lpstr>N</vt:lpstr>
      <vt:lpstr>NN</vt:lpstr>
      <vt:lpstr>SC</vt:lpstr>
      <vt:lpstr>SPL_1</vt:lpstr>
      <vt:lpstr>SR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Angelo Farina</dc:creator>
  <cp:lastModifiedBy>Angelo Farina</cp:lastModifiedBy>
  <dcterms:created xsi:type="dcterms:W3CDTF">2020-10-11T15:26:21Z</dcterms:created>
  <dcterms:modified xsi:type="dcterms:W3CDTF">2020-10-11T17:27:22Z</dcterms:modified>
</cp:coreProperties>
</file>