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19\"/>
    </mc:Choice>
  </mc:AlternateContent>
  <bookViews>
    <workbookView xWindow="1860" yWindow="0" windowWidth="14640" windowHeight="7725"/>
  </bookViews>
  <sheets>
    <sheet name="Form responses 1" sheetId="1" r:id="rId1"/>
    <sheet name="Solution" sheetId="2" r:id="rId2"/>
  </sheets>
  <definedNames>
    <definedName name="A">Solution!$B$4</definedName>
    <definedName name="B">Solution!$C$4</definedName>
    <definedName name="CC">Solution!$D$4</definedName>
    <definedName name="D">Solution!$E$4</definedName>
    <definedName name="E">Solution!$F$4</definedName>
    <definedName name="F">Solution!$G$4</definedName>
  </definedNames>
  <calcPr calcId="162913"/>
</workbook>
</file>

<file path=xl/calcChain.xml><?xml version="1.0" encoding="utf-8"?>
<calcChain xmlns="http://schemas.openxmlformats.org/spreadsheetml/2006/main">
  <c r="AS3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" i="1"/>
  <c r="AM3" i="1"/>
  <c r="AR3" i="1" s="1"/>
  <c r="AN3" i="1"/>
  <c r="AO3" i="1"/>
  <c r="AP3" i="1"/>
  <c r="AQ3" i="1"/>
  <c r="AM4" i="1"/>
  <c r="AN4" i="1"/>
  <c r="AO4" i="1"/>
  <c r="AP4" i="1"/>
  <c r="AQ4" i="1"/>
  <c r="AR4" i="1"/>
  <c r="AM5" i="1"/>
  <c r="AR5" i="1" s="1"/>
  <c r="AN5" i="1"/>
  <c r="AO5" i="1"/>
  <c r="AP5" i="1"/>
  <c r="AQ5" i="1"/>
  <c r="AM6" i="1"/>
  <c r="AN6" i="1"/>
  <c r="AO6" i="1"/>
  <c r="AP6" i="1"/>
  <c r="AQ6" i="1"/>
  <c r="AR6" i="1"/>
  <c r="AM7" i="1"/>
  <c r="AR7" i="1" s="1"/>
  <c r="AN7" i="1"/>
  <c r="AO7" i="1"/>
  <c r="AP7" i="1"/>
  <c r="AQ7" i="1"/>
  <c r="AM8" i="1"/>
  <c r="AN8" i="1"/>
  <c r="AO8" i="1"/>
  <c r="AP8" i="1"/>
  <c r="AQ8" i="1"/>
  <c r="AR8" i="1"/>
  <c r="AM9" i="1"/>
  <c r="AR9" i="1" s="1"/>
  <c r="AN9" i="1"/>
  <c r="AO9" i="1"/>
  <c r="AP9" i="1"/>
  <c r="AQ9" i="1"/>
  <c r="AM10" i="1"/>
  <c r="AN10" i="1"/>
  <c r="AO10" i="1"/>
  <c r="AP10" i="1"/>
  <c r="AQ10" i="1"/>
  <c r="AR10" i="1"/>
  <c r="AM11" i="1"/>
  <c r="AR11" i="1" s="1"/>
  <c r="AN11" i="1"/>
  <c r="AO11" i="1"/>
  <c r="AP11" i="1"/>
  <c r="AQ11" i="1"/>
  <c r="AM12" i="1"/>
  <c r="AN12" i="1"/>
  <c r="AO12" i="1"/>
  <c r="AP12" i="1"/>
  <c r="AQ12" i="1"/>
  <c r="AR12" i="1"/>
  <c r="AM13" i="1"/>
  <c r="AR13" i="1" s="1"/>
  <c r="AN13" i="1"/>
  <c r="AO13" i="1"/>
  <c r="AP13" i="1"/>
  <c r="AQ13" i="1"/>
  <c r="AM14" i="1"/>
  <c r="AN14" i="1"/>
  <c r="AO14" i="1"/>
  <c r="AP14" i="1"/>
  <c r="AQ14" i="1"/>
  <c r="AR14" i="1"/>
  <c r="AM15" i="1"/>
  <c r="AR15" i="1" s="1"/>
  <c r="AN15" i="1"/>
  <c r="AO15" i="1"/>
  <c r="AP15" i="1"/>
  <c r="AQ15" i="1"/>
  <c r="AM16" i="1"/>
  <c r="AN16" i="1"/>
  <c r="AO16" i="1"/>
  <c r="AP16" i="1"/>
  <c r="AQ16" i="1"/>
  <c r="AR16" i="1"/>
  <c r="AM17" i="1"/>
  <c r="AR17" i="1" s="1"/>
  <c r="AN17" i="1"/>
  <c r="AO17" i="1"/>
  <c r="AP17" i="1"/>
  <c r="AQ17" i="1"/>
  <c r="AM18" i="1"/>
  <c r="AN18" i="1"/>
  <c r="AO18" i="1"/>
  <c r="AP18" i="1"/>
  <c r="AQ18" i="1"/>
  <c r="AR18" i="1"/>
  <c r="AM19" i="1"/>
  <c r="AR19" i="1" s="1"/>
  <c r="AN19" i="1"/>
  <c r="AO19" i="1"/>
  <c r="AP19" i="1"/>
  <c r="AQ19" i="1"/>
  <c r="AM20" i="1"/>
  <c r="AN20" i="1"/>
  <c r="AO20" i="1"/>
  <c r="AP20" i="1"/>
  <c r="AQ20" i="1"/>
  <c r="AR20" i="1"/>
  <c r="AM21" i="1"/>
  <c r="AR21" i="1" s="1"/>
  <c r="AN21" i="1"/>
  <c r="AO21" i="1"/>
  <c r="AP21" i="1"/>
  <c r="AQ21" i="1"/>
  <c r="AM22" i="1"/>
  <c r="AN22" i="1"/>
  <c r="AO22" i="1"/>
  <c r="AP22" i="1"/>
  <c r="AQ22" i="1"/>
  <c r="AR22" i="1"/>
  <c r="AM23" i="1"/>
  <c r="AR23" i="1" s="1"/>
  <c r="AN23" i="1"/>
  <c r="AO23" i="1"/>
  <c r="AP23" i="1"/>
  <c r="AQ23" i="1"/>
  <c r="AM24" i="1"/>
  <c r="AN24" i="1"/>
  <c r="AO24" i="1"/>
  <c r="AP24" i="1"/>
  <c r="AQ24" i="1"/>
  <c r="AR24" i="1"/>
  <c r="AM25" i="1"/>
  <c r="AR25" i="1" s="1"/>
  <c r="AN25" i="1"/>
  <c r="AO25" i="1"/>
  <c r="AP25" i="1"/>
  <c r="AQ25" i="1"/>
  <c r="AM26" i="1"/>
  <c r="AN26" i="1"/>
  <c r="AO26" i="1"/>
  <c r="AP26" i="1"/>
  <c r="AQ26" i="1"/>
  <c r="AR26" i="1"/>
  <c r="AM27" i="1"/>
  <c r="AR27" i="1" s="1"/>
  <c r="AN27" i="1"/>
  <c r="AO27" i="1"/>
  <c r="AP27" i="1"/>
  <c r="AQ27" i="1"/>
  <c r="AM28" i="1"/>
  <c r="AN28" i="1"/>
  <c r="AO28" i="1"/>
  <c r="AP28" i="1"/>
  <c r="AQ28" i="1"/>
  <c r="AR28" i="1"/>
  <c r="AR2" i="1"/>
  <c r="AQ2" i="1"/>
  <c r="AP2" i="1"/>
  <c r="AO2" i="1"/>
  <c r="AN2" i="1"/>
  <c r="AM2" i="1"/>
  <c r="AG3" i="1" l="1"/>
  <c r="AI3" i="1"/>
  <c r="AG4" i="1"/>
  <c r="AI4" i="1"/>
  <c r="AG5" i="1"/>
  <c r="AI5" i="1"/>
  <c r="AG6" i="1"/>
  <c r="AI6" i="1"/>
  <c r="AG7" i="1"/>
  <c r="AI7" i="1" s="1"/>
  <c r="AG8" i="1"/>
  <c r="AI8" i="1"/>
  <c r="AG9" i="1"/>
  <c r="AI9" i="1"/>
  <c r="AG10" i="1"/>
  <c r="AI10" i="1"/>
  <c r="AG11" i="1"/>
  <c r="AI11" i="1" s="1"/>
  <c r="AG12" i="1"/>
  <c r="AI12" i="1"/>
  <c r="AG13" i="1"/>
  <c r="AI13" i="1" s="1"/>
  <c r="AG14" i="1"/>
  <c r="AI14" i="1"/>
  <c r="AG15" i="1"/>
  <c r="AI15" i="1"/>
  <c r="AG16" i="1"/>
  <c r="AI16" i="1"/>
  <c r="AG17" i="1"/>
  <c r="AI17" i="1" s="1"/>
  <c r="AG18" i="1"/>
  <c r="AI18" i="1"/>
  <c r="AG19" i="1"/>
  <c r="AI19" i="1"/>
  <c r="AG20" i="1"/>
  <c r="AI20" i="1"/>
  <c r="AG21" i="1"/>
  <c r="AI21" i="1"/>
  <c r="AG22" i="1"/>
  <c r="AI22" i="1"/>
  <c r="AG23" i="1"/>
  <c r="AI23" i="1" s="1"/>
  <c r="AG24" i="1"/>
  <c r="AI24" i="1"/>
  <c r="AG25" i="1"/>
  <c r="AG26" i="1"/>
  <c r="AI26" i="1"/>
  <c r="AG27" i="1"/>
  <c r="AG28" i="1"/>
  <c r="AI28" i="1"/>
  <c r="AG2" i="1"/>
  <c r="AI2" i="1"/>
  <c r="AE28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2" i="1"/>
  <c r="AE3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" i="1"/>
  <c r="Z3" i="1"/>
  <c r="AA3" i="1"/>
  <c r="Z4" i="1"/>
  <c r="AA4" i="1" s="1"/>
  <c r="Z5" i="1"/>
  <c r="AA5" i="1" s="1"/>
  <c r="Z6" i="1"/>
  <c r="AA6" i="1"/>
  <c r="Z7" i="1"/>
  <c r="AA7" i="1"/>
  <c r="Z8" i="1"/>
  <c r="AA8" i="1" s="1"/>
  <c r="Z9" i="1"/>
  <c r="AA9" i="1"/>
  <c r="Z10" i="1"/>
  <c r="AA10" i="1" s="1"/>
  <c r="Z11" i="1"/>
  <c r="AA11" i="1" s="1"/>
  <c r="Z12" i="1"/>
  <c r="AA12" i="1"/>
  <c r="Z13" i="1"/>
  <c r="AA13" i="1"/>
  <c r="Z14" i="1"/>
  <c r="AA14" i="1" s="1"/>
  <c r="Z15" i="1"/>
  <c r="AA15" i="1"/>
  <c r="Z16" i="1"/>
  <c r="AA16" i="1" s="1"/>
  <c r="Z17" i="1"/>
  <c r="AA17" i="1" s="1"/>
  <c r="Z18" i="1"/>
  <c r="AA18" i="1"/>
  <c r="Z19" i="1"/>
  <c r="AA19" i="1"/>
  <c r="Z20" i="1"/>
  <c r="AA20" i="1" s="1"/>
  <c r="Z21" i="1"/>
  <c r="AA21" i="1"/>
  <c r="Z22" i="1"/>
  <c r="AA22" i="1" s="1"/>
  <c r="Z23" i="1"/>
  <c r="AA23" i="1" s="1"/>
  <c r="Z24" i="1"/>
  <c r="AA24" i="1"/>
  <c r="Z25" i="1"/>
  <c r="AA25" i="1"/>
  <c r="Z26" i="1"/>
  <c r="AA26" i="1" s="1"/>
  <c r="Z27" i="1"/>
  <c r="AA27" i="1"/>
  <c r="Z28" i="1"/>
  <c r="AA28" i="1" s="1"/>
  <c r="Z2" i="1"/>
  <c r="AA2" i="1" s="1"/>
  <c r="X3" i="1"/>
  <c r="X6" i="1"/>
  <c r="X8" i="1"/>
  <c r="X9" i="1"/>
  <c r="X10" i="1"/>
  <c r="X11" i="1"/>
  <c r="X14" i="1"/>
  <c r="X15" i="1"/>
  <c r="X16" i="1"/>
  <c r="X19" i="1"/>
  <c r="X20" i="1"/>
  <c r="X22" i="1"/>
  <c r="X2" i="1"/>
  <c r="T5" i="1"/>
  <c r="R15" i="1"/>
  <c r="T15" i="1"/>
  <c r="P2" i="1"/>
  <c r="P21" i="1"/>
  <c r="F3" i="1"/>
  <c r="G3" i="1" s="1"/>
  <c r="F4" i="1"/>
  <c r="G4" i="1"/>
  <c r="F5" i="1"/>
  <c r="G5" i="1" s="1"/>
  <c r="F6" i="1"/>
  <c r="G6" i="1" s="1"/>
  <c r="F7" i="1"/>
  <c r="G7" i="1"/>
  <c r="H7" i="1" s="1"/>
  <c r="F8" i="1"/>
  <c r="G8" i="1"/>
  <c r="F9" i="1"/>
  <c r="H9" i="1" s="1"/>
  <c r="G9" i="1"/>
  <c r="F10" i="1"/>
  <c r="G10" i="1"/>
  <c r="F11" i="1"/>
  <c r="G11" i="1"/>
  <c r="H11" i="1"/>
  <c r="I11" i="1"/>
  <c r="J11" i="1"/>
  <c r="R11" i="1" s="1"/>
  <c r="F12" i="1"/>
  <c r="G12" i="1"/>
  <c r="F13" i="1"/>
  <c r="G13" i="1"/>
  <c r="I13" i="1" s="1"/>
  <c r="J13" i="1" s="1"/>
  <c r="R13" i="1" s="1"/>
  <c r="T13" i="1" s="1"/>
  <c r="H13" i="1"/>
  <c r="F14" i="1"/>
  <c r="G14" i="1" s="1"/>
  <c r="F15" i="1"/>
  <c r="G15" i="1"/>
  <c r="H15" i="1"/>
  <c r="I15" i="1"/>
  <c r="J15" i="1" s="1"/>
  <c r="F16" i="1"/>
  <c r="G16" i="1"/>
  <c r="F17" i="1"/>
  <c r="G17" i="1"/>
  <c r="I17" i="1" s="1"/>
  <c r="H17" i="1"/>
  <c r="F18" i="1"/>
  <c r="G18" i="1"/>
  <c r="F19" i="1"/>
  <c r="G19" i="1"/>
  <c r="H19" i="1"/>
  <c r="I19" i="1"/>
  <c r="J19" i="1"/>
  <c r="R19" i="1" s="1"/>
  <c r="T19" i="1" s="1"/>
  <c r="F20" i="1"/>
  <c r="G20" i="1"/>
  <c r="F21" i="1"/>
  <c r="G21" i="1" s="1"/>
  <c r="F22" i="1"/>
  <c r="G22" i="1"/>
  <c r="F23" i="1"/>
  <c r="G23" i="1"/>
  <c r="H23" i="1"/>
  <c r="I23" i="1"/>
  <c r="F24" i="1"/>
  <c r="G24" i="1"/>
  <c r="F25" i="1"/>
  <c r="H25" i="1" s="1"/>
  <c r="G25" i="1"/>
  <c r="I25" i="1" s="1"/>
  <c r="F26" i="1"/>
  <c r="G26" i="1"/>
  <c r="F27" i="1"/>
  <c r="G27" i="1"/>
  <c r="F28" i="1"/>
  <c r="G28" i="1"/>
  <c r="F2" i="1"/>
  <c r="M22" i="2"/>
  <c r="M19" i="2"/>
  <c r="M16" i="2"/>
  <c r="M13" i="2"/>
  <c r="M10" i="2"/>
  <c r="M7" i="2"/>
  <c r="J25" i="1" l="1"/>
  <c r="R25" i="1" s="1"/>
  <c r="H22" i="1"/>
  <c r="K15" i="1"/>
  <c r="H3" i="1"/>
  <c r="I3" i="1" s="1"/>
  <c r="I21" i="1"/>
  <c r="J21" i="1" s="1"/>
  <c r="R21" i="1" s="1"/>
  <c r="T21" i="1" s="1"/>
  <c r="H18" i="1"/>
  <c r="K11" i="1"/>
  <c r="H4" i="1"/>
  <c r="H26" i="1"/>
  <c r="H8" i="1"/>
  <c r="K19" i="1"/>
  <c r="H21" i="1"/>
  <c r="J17" i="1"/>
  <c r="R17" i="1" s="1"/>
  <c r="T17" i="1" s="1"/>
  <c r="H14" i="1"/>
  <c r="H6" i="1"/>
  <c r="H28" i="1"/>
  <c r="K25" i="1"/>
  <c r="H10" i="1"/>
  <c r="I10" i="1" s="1"/>
  <c r="H12" i="1"/>
  <c r="I12" i="1" s="1"/>
  <c r="H24" i="1"/>
  <c r="J24" i="1" s="1"/>
  <c r="R24" i="1" s="1"/>
  <c r="I9" i="1"/>
  <c r="J9" i="1" s="1"/>
  <c r="R9" i="1" s="1"/>
  <c r="T9" i="1" s="1"/>
  <c r="H5" i="1"/>
  <c r="H27" i="1"/>
  <c r="J23" i="1"/>
  <c r="R23" i="1" s="1"/>
  <c r="T23" i="1" s="1"/>
  <c r="H20" i="1"/>
  <c r="K17" i="1"/>
  <c r="H16" i="1"/>
  <c r="I16" i="1" s="1"/>
  <c r="I7" i="1"/>
  <c r="J7" i="1"/>
  <c r="R7" i="1" s="1"/>
  <c r="T7" i="1" s="1"/>
  <c r="K21" i="1"/>
  <c r="K13" i="1"/>
  <c r="J28" i="1"/>
  <c r="R28" i="1" s="1"/>
  <c r="T28" i="1" s="1"/>
  <c r="J26" i="1"/>
  <c r="R26" i="1" s="1"/>
  <c r="I28" i="1"/>
  <c r="I26" i="1"/>
  <c r="K26" i="1" s="1"/>
  <c r="I24" i="1"/>
  <c r="I22" i="1"/>
  <c r="J22" i="1" s="1"/>
  <c r="R22" i="1" s="1"/>
  <c r="I20" i="1"/>
  <c r="J20" i="1" s="1"/>
  <c r="I18" i="1"/>
  <c r="J18" i="1" s="1"/>
  <c r="R18" i="1" s="1"/>
  <c r="I14" i="1"/>
  <c r="J14" i="1" s="1"/>
  <c r="R14" i="1" s="1"/>
  <c r="T14" i="1" s="1"/>
  <c r="I8" i="1"/>
  <c r="J8" i="1" s="1"/>
  <c r="G2" i="1"/>
  <c r="H2" i="1" s="1"/>
  <c r="V26" i="1" l="1"/>
  <c r="N26" i="1"/>
  <c r="P26" i="1" s="1"/>
  <c r="J6" i="1"/>
  <c r="R6" i="1" s="1"/>
  <c r="T6" i="1" s="1"/>
  <c r="R8" i="1"/>
  <c r="T8" i="1" s="1"/>
  <c r="K8" i="1"/>
  <c r="K3" i="1"/>
  <c r="N25" i="1"/>
  <c r="V25" i="1"/>
  <c r="V11" i="1"/>
  <c r="N11" i="1"/>
  <c r="P11" i="1" s="1"/>
  <c r="K24" i="1"/>
  <c r="N13" i="1"/>
  <c r="P13" i="1" s="1"/>
  <c r="V13" i="1"/>
  <c r="N21" i="1"/>
  <c r="V21" i="1"/>
  <c r="I4" i="1"/>
  <c r="J4" i="1" s="1"/>
  <c r="I6" i="1"/>
  <c r="V15" i="1"/>
  <c r="N15" i="1"/>
  <c r="K20" i="1"/>
  <c r="R20" i="1"/>
  <c r="K28" i="1"/>
  <c r="K7" i="1"/>
  <c r="I5" i="1"/>
  <c r="J5" i="1" s="1"/>
  <c r="R5" i="1" s="1"/>
  <c r="K23" i="1"/>
  <c r="V17" i="1"/>
  <c r="N17" i="1"/>
  <c r="P17" i="1" s="1"/>
  <c r="I27" i="1"/>
  <c r="K9" i="1"/>
  <c r="V19" i="1"/>
  <c r="N19" i="1"/>
  <c r="P19" i="1" s="1"/>
  <c r="J3" i="1"/>
  <c r="R3" i="1" s="1"/>
  <c r="T3" i="1" s="1"/>
  <c r="J10" i="1"/>
  <c r="K14" i="1"/>
  <c r="J12" i="1"/>
  <c r="K18" i="1"/>
  <c r="J16" i="1"/>
  <c r="K22" i="1"/>
  <c r="I2" i="1"/>
  <c r="R4" i="1" l="1"/>
  <c r="T4" i="1" s="1"/>
  <c r="K4" i="1"/>
  <c r="V7" i="1"/>
  <c r="N7" i="1"/>
  <c r="P7" i="1" s="1"/>
  <c r="V20" i="1"/>
  <c r="N20" i="1"/>
  <c r="K12" i="1"/>
  <c r="R12" i="1"/>
  <c r="T12" i="1" s="1"/>
  <c r="K27" i="1"/>
  <c r="K6" i="1"/>
  <c r="V8" i="1"/>
  <c r="N8" i="1"/>
  <c r="P8" i="1" s="1"/>
  <c r="K10" i="1"/>
  <c r="R10" i="1"/>
  <c r="T10" i="1" s="1"/>
  <c r="N9" i="1"/>
  <c r="P9" i="1" s="1"/>
  <c r="V9" i="1"/>
  <c r="N22" i="1"/>
  <c r="P22" i="1" s="1"/>
  <c r="V22" i="1"/>
  <c r="J27" i="1"/>
  <c r="R27" i="1" s="1"/>
  <c r="K16" i="1"/>
  <c r="R16" i="1"/>
  <c r="N23" i="1"/>
  <c r="P23" i="1" s="1"/>
  <c r="V23" i="1"/>
  <c r="V3" i="1"/>
  <c r="N3" i="1"/>
  <c r="P3" i="1" s="1"/>
  <c r="V18" i="1"/>
  <c r="N18" i="1"/>
  <c r="P18" i="1" s="1"/>
  <c r="K5" i="1"/>
  <c r="N14" i="1"/>
  <c r="P14" i="1" s="1"/>
  <c r="V14" i="1"/>
  <c r="V28" i="1"/>
  <c r="N28" i="1"/>
  <c r="N24" i="1"/>
  <c r="P24" i="1" s="1"/>
  <c r="V24" i="1"/>
  <c r="J2" i="1"/>
  <c r="R2" i="1" s="1"/>
  <c r="T2" i="1" s="1"/>
  <c r="V6" i="1" l="1"/>
  <c r="N6" i="1"/>
  <c r="P6" i="1" s="1"/>
  <c r="V27" i="1"/>
  <c r="N27" i="1"/>
  <c r="V12" i="1"/>
  <c r="X12" i="1" s="1"/>
  <c r="N12" i="1"/>
  <c r="P12" i="1" s="1"/>
  <c r="V16" i="1"/>
  <c r="N16" i="1"/>
  <c r="P16" i="1" s="1"/>
  <c r="K2" i="1"/>
  <c r="V5" i="1"/>
  <c r="N5" i="1"/>
  <c r="P5" i="1" s="1"/>
  <c r="V4" i="1"/>
  <c r="N4" i="1"/>
  <c r="P4" i="1" s="1"/>
  <c r="N10" i="1"/>
  <c r="P10" i="1" s="1"/>
  <c r="V10" i="1"/>
  <c r="V2" i="1" l="1"/>
  <c r="N2" i="1"/>
</calcChain>
</file>

<file path=xl/sharedStrings.xml><?xml version="1.0" encoding="utf-8"?>
<sst xmlns="http://schemas.openxmlformats.org/spreadsheetml/2006/main" count="426" uniqueCount="185">
  <si>
    <t>Timestamp</t>
  </si>
  <si>
    <t>Email address</t>
  </si>
  <si>
    <t>Surname and Name</t>
  </si>
  <si>
    <t>Matricula</t>
  </si>
  <si>
    <t>1) A mono signal is sampled at 96 kHz without employing an anti-aliasing filter. A pure tone is captured by the microphone, having a frequency of 50+F*2 kHz. At which frequency will this tone appear in the spectrum of the digitally-sampled sound?</t>
  </si>
  <si>
    <t>2) A signal is sampled at 96 kHz, and an FFT spectrum analysis is performed, employing signal blocks which are long 2^(E+4) samples. Compute the spectral resolution of the resulting spectrum</t>
  </si>
  <si>
    <t>3) The impulse response of a loudspeaker is long 2000+F*100 samples, and its inverse filter is long 4000+E*100 samples. For verifying the accuracy of the inverse filter, the IR is convolved with the filter. Compute the length of the result.</t>
  </si>
  <si>
    <t>4) Inside a standing wave tube, the ratio between the maximum and minimum values of sound pressure is equal to 2+F/4. Compute the value of the absorption coefficient α of the sample placed at the end of the tube.</t>
  </si>
  <si>
    <t>5) A velocity microphone (a.k.a. “figure of 8”) is placed in front a sound source, radiating a stationary signal. Initially the mike points to the source, then the mike is rotated by an angle of 30+F*5 degrees. Compute the level decrease.</t>
  </si>
  <si>
    <t>6) A WFS line array is composed of 10+F loudspeakers, which are processed in such a way to provide exactly identical sound pressure signals (both as magnitude and phase) at a given focusing point. How much level boost does the SPL gets in that point when using all the loudspeakers, instead of when using just one?</t>
  </si>
  <si>
    <t xml:space="preserve">7) What is the minimum number of microphone capsules for capturing a complete 1st order Ambisonics soundtrack? </t>
  </si>
  <si>
    <t>8) Select all propositions you think are TRUE</t>
  </si>
  <si>
    <t>40 kHz</t>
  </si>
  <si>
    <t>elisa.catellani@studenti.unipr.it</t>
  </si>
  <si>
    <t xml:space="preserve">Catellani Elisa </t>
  </si>
  <si>
    <t>23.43 Hz</t>
  </si>
  <si>
    <t>4 capsules</t>
  </si>
  <si>
    <t>A stereo ORTF recording is optimal for listening over a pair of loudspeakers, Surround 5.1 soundtracks are usually created in studio by panning several mono sources, Binaural reproduction with head-tracking on headphones requires a Soundfield B-format recording</t>
  </si>
  <si>
    <t>constantin.lozinschi@studenti.unipr.it</t>
  </si>
  <si>
    <t>Lozinschi Constantin</t>
  </si>
  <si>
    <t>34000 Hz</t>
  </si>
  <si>
    <t>11.718 Hz</t>
  </si>
  <si>
    <t>6.02 dB</t>
  </si>
  <si>
    <t>24.08 dB</t>
  </si>
  <si>
    <t>michelangelo.federico@studenti.unipr.it</t>
  </si>
  <si>
    <t>Federico Michelangelo</t>
  </si>
  <si>
    <t>44000 Hz</t>
  </si>
  <si>
    <t>6999 Samples</t>
  </si>
  <si>
    <t>1.7327 dB</t>
  </si>
  <si>
    <t>giorgio.lodigiani@studenti.unipr.it</t>
  </si>
  <si>
    <t>Lodigiani Giorgio</t>
  </si>
  <si>
    <t>48 kHz</t>
  </si>
  <si>
    <t>513 bands</t>
  </si>
  <si>
    <t>6599 samples</t>
  </si>
  <si>
    <t>giulia.magnani3@studenti.unipr.it</t>
  </si>
  <si>
    <t>Magnani Giulia</t>
  </si>
  <si>
    <t>32000 Hz</t>
  </si>
  <si>
    <t>23.44 Hz</t>
  </si>
  <si>
    <t>7.48 dB</t>
  </si>
  <si>
    <t>24.6 dB</t>
  </si>
  <si>
    <t>alice.bolzoni1@studenti.unipr.it</t>
  </si>
  <si>
    <t>Bolzoni Alice</t>
  </si>
  <si>
    <t>93.75 Hz</t>
  </si>
  <si>
    <t>24.61 dB</t>
  </si>
  <si>
    <t>francesco.bernardi1@studenti.unipr.it</t>
  </si>
  <si>
    <t>Bernardi Francesco</t>
  </si>
  <si>
    <t>30000 Hz</t>
  </si>
  <si>
    <t>3000 Hz</t>
  </si>
  <si>
    <t>25.1 dB</t>
  </si>
  <si>
    <t>francesca.aimi1@studenti.unipr.it</t>
  </si>
  <si>
    <t>Aimi Francesca</t>
  </si>
  <si>
    <t>11.72 Hz</t>
  </si>
  <si>
    <t>-9.3 dB</t>
  </si>
  <si>
    <t>25.11 dB</t>
  </si>
  <si>
    <t>A stereo ORTF recording is optimal for listening over a pair of loudspeakers, Surround 5.1 soundtracks are usually created in studio by panning several mono sources</t>
  </si>
  <si>
    <t>francesco.vetere@studenti.unipr.it</t>
  </si>
  <si>
    <t>Vetere Francesco</t>
  </si>
  <si>
    <t>750 Hz</t>
  </si>
  <si>
    <t>riccardo.brunori@studenti.unipr.it</t>
  </si>
  <si>
    <t>Brunori Riccardo</t>
  </si>
  <si>
    <t>38 kHz</t>
  </si>
  <si>
    <t>1.5 kHz</t>
  </si>
  <si>
    <t>-3.83 dB</t>
  </si>
  <si>
    <t>22.923 dB</t>
  </si>
  <si>
    <t>susanna.parmigiani@studenti.unipr.it</t>
  </si>
  <si>
    <t>parmigiani susanna</t>
  </si>
  <si>
    <t>32 kHz</t>
  </si>
  <si>
    <t>6 kHz</t>
  </si>
  <si>
    <t>6800 samples</t>
  </si>
  <si>
    <t>tiziana.candela@studenti.unipr.it</t>
  </si>
  <si>
    <t>Candela Tiziana</t>
  </si>
  <si>
    <t>46.87 Hz</t>
  </si>
  <si>
    <t>andrea.fois@studenti.unipr.it</t>
  </si>
  <si>
    <t>Fois Andrea</t>
  </si>
  <si>
    <t>46000 Hz</t>
  </si>
  <si>
    <t>11.7 Hz</t>
  </si>
  <si>
    <t>1.25 dB</t>
  </si>
  <si>
    <t>20 dB</t>
  </si>
  <si>
    <t>kristian.shaka@studenti.unipr.it</t>
  </si>
  <si>
    <t>Shaka Kristian</t>
  </si>
  <si>
    <t>36 KHz</t>
  </si>
  <si>
    <t>23.5 dB</t>
  </si>
  <si>
    <t>A stereo ORTF recording is optimal for listening over a pair of loudspeakers, Surround 5.1 soundtracks are usually created in studio by panning several mono sources, Binaural reproduction with head-tracking on headphones requires a binaural dummy head recording</t>
  </si>
  <si>
    <t>luca.zaccardi@studenti.unipr.it</t>
  </si>
  <si>
    <t>Luca Zaccardi</t>
  </si>
  <si>
    <t>42 kHz</t>
  </si>
  <si>
    <t>6kHz</t>
  </si>
  <si>
    <t>-2.4 dB</t>
  </si>
  <si>
    <t>21.6 dB</t>
  </si>
  <si>
    <t>enrico.zoboli@studenti.unipr.it</t>
  </si>
  <si>
    <t>Zoboli Enrico</t>
  </si>
  <si>
    <t>40000 Hz</t>
  </si>
  <si>
    <t>6000 Hz</t>
  </si>
  <si>
    <t>22.3 dB</t>
  </si>
  <si>
    <t>nirmalkumar.machikalapudi@studenti.unipr.it</t>
  </si>
  <si>
    <t>GANTA LAKSHMI VENKATA SAI KUMAR REDDY</t>
  </si>
  <si>
    <t>3 kHz</t>
  </si>
  <si>
    <t>22.278 dB</t>
  </si>
  <si>
    <t>A stereo ORTF recording is optimal for listening over a pair of loudspeakers, Surround 5.1 soundtracks are usually obtained by an Ambisonics microphone, Binaural reproduction with head-tracking on headphones requires a binaural dummy head recording</t>
  </si>
  <si>
    <t>frankkija.charles@studenti.unipr.it</t>
  </si>
  <si>
    <t>Charles Frank Kija</t>
  </si>
  <si>
    <t>1500 kHz</t>
  </si>
  <si>
    <t>peninagreen.mbwilo@studenti.unipr.it</t>
  </si>
  <si>
    <t>PENINA MBWILO</t>
  </si>
  <si>
    <t>1.5KHz or 1500Hz</t>
  </si>
  <si>
    <t>anatolij.borroni@studenti.unipr.it</t>
  </si>
  <si>
    <t>Borroni Anatolij</t>
  </si>
  <si>
    <t>188 Hz</t>
  </si>
  <si>
    <t>fabian.difeliciantonio@studenti.unipr.it</t>
  </si>
  <si>
    <t>Di Feliciantonio Fabian</t>
  </si>
  <si>
    <t>36 kHz</t>
  </si>
  <si>
    <t>0.023 kHz</t>
  </si>
  <si>
    <t>-4.83 dB</t>
  </si>
  <si>
    <t>elisa.conti2@studenti.unipr.it</t>
  </si>
  <si>
    <t>Conti Elisa</t>
  </si>
  <si>
    <t>salman.gazi@studenti.unipr.it</t>
  </si>
  <si>
    <t>GAZI SALMAN</t>
  </si>
  <si>
    <t>.75 kHz</t>
  </si>
  <si>
    <t>21.58 dB</t>
  </si>
  <si>
    <t>jayaprakashreddy.chinnamaru@studenti.unipr.it</t>
  </si>
  <si>
    <t>CHINNAMARU JAYAPRAKASH REDDY</t>
  </si>
  <si>
    <t>38 khz</t>
  </si>
  <si>
    <t>0.011 khz</t>
  </si>
  <si>
    <t>22.922dB</t>
  </si>
  <si>
    <t>federica.delia@studenti.unipr.it</t>
  </si>
  <si>
    <t>CAPPELLI MATTEO</t>
  </si>
  <si>
    <t>0.75kHz</t>
  </si>
  <si>
    <t>venkatarakesh.yelloji@studenti.unipr.it</t>
  </si>
  <si>
    <t>YELLOJI VENLKATA RAKESH</t>
  </si>
  <si>
    <t>28KHZ</t>
  </si>
  <si>
    <t>0.75kHZ</t>
  </si>
  <si>
    <t>7200 samples</t>
  </si>
  <si>
    <t>-12.05dB</t>
  </si>
  <si>
    <t>25.5dB</t>
  </si>
  <si>
    <t>behrang.mahmoudi@studenti.unipr.it</t>
  </si>
  <si>
    <t>Mahmoudi Behrang</t>
  </si>
  <si>
    <t>32 KHz</t>
  </si>
  <si>
    <t>2.823 KHz</t>
  </si>
  <si>
    <t>B</t>
  </si>
  <si>
    <t>1) A mono signal is sampled at 96 kHz without employing an antialiasing filter. A pure tone is captured by the microphone, having a frequency of 50+F*2 kHz. At which frequency will this tone appear in the spectrum of the digitally-sampled sound?</t>
  </si>
  <si>
    <r>
      <t>Write number and measurement unit (with a space in between and no other spaces)</t>
    </r>
    <r>
      <rPr>
        <sz val="11"/>
        <color rgb="FF000000"/>
        <rFont val="Calibri"/>
        <family val="2"/>
      </rPr>
      <t xml:space="preserve"> </t>
    </r>
  </si>
  <si>
    <t>Write number and measurement unit (with a space in between and no other spaces)</t>
  </si>
  <si>
    <t xml:space="preserve"> </t>
  </si>
  <si>
    <t xml:space="preserve">Write number and measurement unit (with a space in between and no other spaces) </t>
  </si>
  <si>
    <r>
      <t>7) What is the minimum number of microphone capsules for capturing a complete 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rgb="FF000000"/>
        <rFont val="Calibri"/>
        <family val="2"/>
      </rPr>
      <t xml:space="preserve"> order Ambisonics soundtrack? </t>
    </r>
    <r>
      <rPr>
        <i/>
        <sz val="11"/>
        <color rgb="FF000000"/>
        <rFont val="Calibri"/>
        <family val="2"/>
      </rPr>
      <t>(one answer only)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</si>
  <si>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1 capsule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</si>
  <si>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2 capsules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</si>
  <si>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3 capsules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</si>
  <si>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4 capsules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</si>
  <si>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6 capsules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</si>
  <si>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8 capsules</t>
    </r>
  </si>
  <si>
    <t>(multiple answers)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</si>
  <si>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stereo ORTF recording is optimal for listening over a pair of loudspeakers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</si>
  <si>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Surround 5.1 soundtracks are usually obtained by an Ambisonics microphone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</si>
  <si>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Surround 5.1 soundtracks are usually created in studio by panning several mono sources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</si>
  <si>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Binaural reproduction with head-tracking on headphones requires a binaural dummy head recording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</si>
  <si>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Binaural reproduction with head-tracking on headphones requires a Soundfield B-format recording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</si>
  <si>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 WFS loudspeaker array provides complete 3D sound field reconstruction over a large listening area</t>
    </r>
  </si>
  <si>
    <t>fAlias = fNyquist - (fTone-fNyquist) =</t>
  </si>
  <si>
    <t>kHz</t>
  </si>
  <si>
    <t>A</t>
  </si>
  <si>
    <t>C</t>
  </si>
  <si>
    <t>D</t>
  </si>
  <si>
    <t>E</t>
  </si>
  <si>
    <t>F</t>
  </si>
  <si>
    <t>Solution of test - 20/12/2019 - Applied Acoustics</t>
  </si>
  <si>
    <t>Hz</t>
  </si>
  <si>
    <r>
      <rPr>
        <sz val="10"/>
        <color rgb="FF000000"/>
        <rFont val="Symbol"/>
        <family val="1"/>
        <charset val="2"/>
      </rPr>
      <t>D</t>
    </r>
    <r>
      <rPr>
        <sz val="10"/>
        <color rgb="FF000000"/>
        <rFont val="Arial"/>
        <family val="2"/>
      </rPr>
      <t>f = fsamp/Nsamples =</t>
    </r>
  </si>
  <si>
    <t>L = N+M-1 =</t>
  </si>
  <si>
    <t>samples</t>
  </si>
  <si>
    <t>=</t>
  </si>
  <si>
    <r>
      <rPr>
        <sz val="10"/>
        <color rgb="FF000000"/>
        <rFont val="Calibri"/>
        <family val="2"/>
      </rPr>
      <t>Δ</t>
    </r>
    <r>
      <rPr>
        <sz val="10"/>
        <color rgb="FF000000"/>
        <rFont val="Arial"/>
        <family val="2"/>
      </rPr>
      <t>L = 20*log10(cos(</t>
    </r>
    <r>
      <rPr>
        <sz val="10"/>
        <color rgb="FF000000"/>
        <rFont val="Calibri"/>
        <family val="2"/>
      </rPr>
      <t>α</t>
    </r>
    <r>
      <rPr>
        <sz val="10"/>
        <color rgb="FF000000"/>
        <rFont val="Arial"/>
        <family val="2"/>
      </rPr>
      <t>)) =</t>
    </r>
  </si>
  <si>
    <t>dB</t>
  </si>
  <si>
    <r>
      <rPr>
        <sz val="10"/>
        <color rgb="FF000000"/>
        <rFont val="Calibri"/>
        <family val="2"/>
      </rPr>
      <t>Δ</t>
    </r>
    <r>
      <rPr>
        <sz val="10"/>
        <color rgb="FF000000"/>
        <rFont val="Arial"/>
        <family val="2"/>
      </rPr>
      <t>L = 20*log10(N) =</t>
    </r>
  </si>
  <si>
    <t>N.</t>
  </si>
  <si>
    <t>Online bonus</t>
  </si>
  <si>
    <t>Correct Answer</t>
  </si>
  <si>
    <t>Correct Unit</t>
  </si>
  <si>
    <t>Score</t>
  </si>
  <si>
    <t>Colour markings:</t>
  </si>
  <si>
    <t>wrong measurement unit (error)</t>
  </si>
  <si>
    <t>format error for unit (0 instead of -1)</t>
  </si>
  <si>
    <t>missing space before unit (not error, this time)</t>
  </si>
  <si>
    <t>wrong by just 1 (score is 0 instead of -1)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</si>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</sst>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\ h:mm:ss"/>
    <numFmt numFmtId="169" formatCode="0.000"/>
  </numFmts>
  <fonts count="17" x14ac:knownFonts="1"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Symbol"/>
      <family val="1"/>
      <charset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2" fillId="0" borderId="1" xfId="0" applyNumberFormat="1" applyFont="1" applyBorder="1" applyAlignment="1"/>
    <xf numFmtId="2" fontId="2" fillId="0" borderId="2" xfId="0" applyNumberFormat="1" applyFont="1" applyBorder="1" applyAlignment="1"/>
    <xf numFmtId="0" fontId="3" fillId="0" borderId="0" xfId="0" quotePrefix="1" applyFont="1" applyAlignment="1">
      <alignment horizontal="right"/>
    </xf>
    <xf numFmtId="169" fontId="2" fillId="0" borderId="1" xfId="0" applyNumberFormat="1" applyFont="1" applyBorder="1" applyAlignment="1"/>
    <xf numFmtId="169" fontId="2" fillId="0" borderId="2" xfId="0" applyNumberFormat="1" applyFont="1" applyBorder="1" applyAlignment="1"/>
    <xf numFmtId="0" fontId="10" fillId="2" borderId="0" xfId="0" applyFont="1" applyFill="1" applyAlignment="1">
      <alignment horizontal="left" vertical="center" indent="4"/>
    </xf>
    <xf numFmtId="0" fontId="0" fillId="2" borderId="0" xfId="0" applyFont="1" applyFill="1" applyAlignment="1"/>
    <xf numFmtId="0" fontId="0" fillId="0" borderId="0" xfId="0" applyFont="1" applyAlignment="1">
      <alignment horizontal="left"/>
    </xf>
    <xf numFmtId="0" fontId="14" fillId="3" borderId="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5" fillId="0" borderId="9" xfId="0" applyFont="1" applyBorder="1" applyAlignment="1"/>
    <xf numFmtId="1" fontId="16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0" fontId="0" fillId="5" borderId="0" xfId="0" applyFont="1" applyFill="1" applyAlignment="1"/>
    <xf numFmtId="0" fontId="3" fillId="6" borderId="0" xfId="0" applyFont="1" applyFill="1" applyAlignment="1"/>
    <xf numFmtId="0" fontId="0" fillId="6" borderId="0" xfId="0" applyFont="1" applyFill="1" applyAlignment="1"/>
    <xf numFmtId="2" fontId="16" fillId="0" borderId="9" xfId="0" applyNumberFormat="1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0" fillId="7" borderId="0" xfId="0" applyFont="1" applyFill="1" applyAlignment="1"/>
    <xf numFmtId="0" fontId="3" fillId="8" borderId="0" xfId="0" applyFont="1" applyFill="1" applyAlignment="1"/>
    <xf numFmtId="0" fontId="0" fillId="8" borderId="0" xfId="0" applyFont="1" applyFill="1" applyAlignment="1">
      <alignment horizontal="left"/>
    </xf>
    <xf numFmtId="0" fontId="0" fillId="8" borderId="0" xfId="0" applyFont="1" applyFill="1" applyAlignment="1"/>
    <xf numFmtId="169" fontId="16" fillId="0" borderId="9" xfId="0" applyNumberFormat="1" applyFont="1" applyBorder="1" applyAlignment="1">
      <alignment horizont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9" xfId="0" applyNumberFormat="1" applyFont="1" applyBorder="1" applyAlignment="1">
      <alignment horizontal="left"/>
    </xf>
    <xf numFmtId="0" fontId="1" fillId="0" borderId="9" xfId="0" applyFont="1" applyBorder="1" applyAlignment="1"/>
    <xf numFmtId="0" fontId="1" fillId="0" borderId="9" xfId="0" applyFont="1" applyBorder="1" applyAlignment="1">
      <alignment horizontal="center"/>
    </xf>
    <xf numFmtId="0" fontId="0" fillId="0" borderId="9" xfId="0" applyFont="1" applyBorder="1" applyAlignment="1"/>
    <xf numFmtId="0" fontId="0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6" borderId="9" xfId="0" applyFont="1" applyFill="1" applyBorder="1" applyAlignment="1"/>
    <xf numFmtId="0" fontId="1" fillId="8" borderId="9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/>
    <xf numFmtId="164" fontId="1" fillId="0" borderId="7" xfId="0" applyNumberFormat="1" applyFont="1" applyBorder="1" applyAlignment="1">
      <alignment horizontal="left"/>
    </xf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right"/>
    </xf>
    <xf numFmtId="1" fontId="16" fillId="0" borderId="7" xfId="0" applyNumberFormat="1" applyFont="1" applyBorder="1" applyAlignment="1">
      <alignment horizontal="center"/>
    </xf>
    <xf numFmtId="0" fontId="15" fillId="0" borderId="7" xfId="0" applyFont="1" applyBorder="1" applyAlignment="1"/>
    <xf numFmtId="0" fontId="1" fillId="8" borderId="7" xfId="0" applyFont="1" applyFill="1" applyBorder="1" applyAlignment="1">
      <alignment horizontal="right"/>
    </xf>
    <xf numFmtId="169" fontId="16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2" fontId="16" fillId="0" borderId="7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1">
    <cellStyle name="Normal" xfId="0" builtinId="0"/>
  </cellStyles>
  <dxfs count="48"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14</xdr:row>
      <xdr:rowOff>304800</xdr:rowOff>
    </xdr:from>
    <xdr:to>
      <xdr:col>11</xdr:col>
      <xdr:colOff>514350</xdr:colOff>
      <xdr:row>16</xdr:row>
      <xdr:rowOff>98723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448050"/>
          <a:ext cx="1343025" cy="365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34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5.75" customHeight="1" x14ac:dyDescent="0.2"/>
  <cols>
    <col min="1" max="1" width="4.28515625" customWidth="1"/>
    <col min="2" max="2" width="18" style="28" customWidth="1"/>
    <col min="3" max="3" width="42.42578125" customWidth="1"/>
    <col min="4" max="4" width="43.5703125" customWidth="1"/>
    <col min="5" max="5" width="9.28515625" style="14" customWidth="1"/>
    <col min="6" max="11" width="3.28515625" style="14" customWidth="1"/>
    <col min="12" max="12" width="7.5703125" style="14" customWidth="1"/>
    <col min="13" max="13" width="29.140625" customWidth="1"/>
    <col min="14" max="14" width="8.140625" customWidth="1"/>
    <col min="15" max="15" width="7.42578125" customWidth="1"/>
    <col min="16" max="16" width="6.42578125" customWidth="1"/>
    <col min="17" max="17" width="26.42578125" customWidth="1"/>
    <col min="18" max="18" width="7.7109375" customWidth="1"/>
    <col min="19" max="19" width="7.42578125" customWidth="1"/>
    <col min="20" max="20" width="6.85546875" customWidth="1"/>
    <col min="21" max="21" width="30.42578125" customWidth="1"/>
    <col min="22" max="24" width="8" customWidth="1"/>
    <col min="25" max="25" width="26.28515625" customWidth="1"/>
    <col min="26" max="26" width="8.140625" customWidth="1"/>
    <col min="27" max="27" width="7" customWidth="1"/>
    <col min="28" max="28" width="29.140625" customWidth="1"/>
    <col min="29" max="29" width="8.42578125" customWidth="1"/>
    <col min="30" max="30" width="7.5703125" customWidth="1"/>
    <col min="31" max="31" width="7.140625" customWidth="1"/>
    <col min="32" max="32" width="37.42578125" customWidth="1"/>
    <col min="33" max="35" width="8" customWidth="1"/>
    <col min="36" max="36" width="19.42578125" customWidth="1"/>
    <col min="37" max="37" width="7" customWidth="1"/>
    <col min="38" max="38" width="16.85546875" customWidth="1"/>
    <col min="39" max="44" width="3" customWidth="1"/>
    <col min="45" max="45" width="7.5703125" customWidth="1"/>
    <col min="46" max="50" width="21.5703125" customWidth="1"/>
  </cols>
  <sheetData>
    <row r="1" spans="1:45" ht="120.75" customHeight="1" x14ac:dyDescent="0.2">
      <c r="A1" s="29" t="s">
        <v>174</v>
      </c>
      <c r="B1" s="32" t="s">
        <v>0</v>
      </c>
      <c r="C1" s="32" t="s">
        <v>1</v>
      </c>
      <c r="D1" s="32" t="s">
        <v>2</v>
      </c>
      <c r="E1" s="29" t="s">
        <v>3</v>
      </c>
      <c r="F1" s="29" t="s">
        <v>160</v>
      </c>
      <c r="G1" s="29" t="s">
        <v>138</v>
      </c>
      <c r="H1" s="29" t="s">
        <v>161</v>
      </c>
      <c r="I1" s="29" t="s">
        <v>162</v>
      </c>
      <c r="J1" s="29" t="s">
        <v>163</v>
      </c>
      <c r="K1" s="29" t="s">
        <v>164</v>
      </c>
      <c r="L1" s="29" t="s">
        <v>175</v>
      </c>
      <c r="M1" s="32" t="s">
        <v>4</v>
      </c>
      <c r="N1" s="29" t="s">
        <v>176</v>
      </c>
      <c r="O1" s="29" t="s">
        <v>177</v>
      </c>
      <c r="P1" s="29" t="s">
        <v>178</v>
      </c>
      <c r="Q1" s="32" t="s">
        <v>5</v>
      </c>
      <c r="R1" s="29" t="s">
        <v>176</v>
      </c>
      <c r="S1" s="29" t="s">
        <v>177</v>
      </c>
      <c r="T1" s="29" t="s">
        <v>178</v>
      </c>
      <c r="U1" s="32" t="s">
        <v>6</v>
      </c>
      <c r="V1" s="29" t="s">
        <v>176</v>
      </c>
      <c r="W1" s="29" t="s">
        <v>177</v>
      </c>
      <c r="X1" s="29" t="s">
        <v>178</v>
      </c>
      <c r="Y1" s="32" t="s">
        <v>7</v>
      </c>
      <c r="Z1" s="29" t="s">
        <v>176</v>
      </c>
      <c r="AA1" s="29" t="s">
        <v>178</v>
      </c>
      <c r="AB1" s="32" t="s">
        <v>8</v>
      </c>
      <c r="AC1" s="29" t="s">
        <v>176</v>
      </c>
      <c r="AD1" s="29" t="s">
        <v>177</v>
      </c>
      <c r="AE1" s="29" t="s">
        <v>178</v>
      </c>
      <c r="AF1" s="32" t="s">
        <v>9</v>
      </c>
      <c r="AG1" s="29" t="s">
        <v>176</v>
      </c>
      <c r="AH1" s="29" t="s">
        <v>177</v>
      </c>
      <c r="AI1" s="29" t="s">
        <v>178</v>
      </c>
      <c r="AJ1" s="32" t="s">
        <v>10</v>
      </c>
      <c r="AK1" s="29" t="s">
        <v>178</v>
      </c>
      <c r="AL1" s="32" t="s">
        <v>11</v>
      </c>
      <c r="AM1" s="47">
        <v>1</v>
      </c>
      <c r="AN1" s="47">
        <v>-1</v>
      </c>
      <c r="AO1" s="47">
        <v>1</v>
      </c>
      <c r="AP1" s="47">
        <v>-1</v>
      </c>
      <c r="AQ1" s="47">
        <v>1</v>
      </c>
      <c r="AR1" s="47">
        <v>-1</v>
      </c>
      <c r="AS1" s="48" t="s">
        <v>184</v>
      </c>
    </row>
    <row r="2" spans="1:45" ht="12.75" x14ac:dyDescent="0.2">
      <c r="A2" s="50">
        <v>1</v>
      </c>
      <c r="B2" s="51">
        <v>43819.734371909726</v>
      </c>
      <c r="C2" s="52" t="s">
        <v>13</v>
      </c>
      <c r="D2" s="52" t="s">
        <v>14</v>
      </c>
      <c r="E2" s="53">
        <v>313884</v>
      </c>
      <c r="F2" s="30">
        <f t="shared" ref="F2" si="0">INT(E2/100000)</f>
        <v>3</v>
      </c>
      <c r="G2" s="30">
        <f t="shared" ref="G2" si="1">INT(($E2-100000*F2)/10000)</f>
        <v>1</v>
      </c>
      <c r="H2" s="30">
        <f t="shared" ref="H2" si="2">INT(($E2-100000*F2-10000*G2)/1000)</f>
        <v>3</v>
      </c>
      <c r="I2" s="30">
        <f t="shared" ref="I2:I28" si="3">INT(($E2-100000*$F2-10000*$G2-1000*$H2)/100)</f>
        <v>8</v>
      </c>
      <c r="J2" s="30">
        <f t="shared" ref="J2:J28" si="4">INT(($E2-100000*$F2-10000*$G2-1000*$H2-100*$I2)/10)</f>
        <v>8</v>
      </c>
      <c r="K2" s="30">
        <f t="shared" ref="K2:K28" si="5">INT(($E2-100000*$F2-10000*$G2-1000*$H2-100*$I2-10*$J2))</f>
        <v>4</v>
      </c>
      <c r="L2" s="31">
        <v>2</v>
      </c>
      <c r="M2" s="54"/>
      <c r="N2" s="34">
        <f>(48-(50+K2*2-48))*1000</f>
        <v>38000</v>
      </c>
      <c r="O2" s="33" t="s">
        <v>166</v>
      </c>
      <c r="P2" s="31">
        <f>IF(M2="",0,IF(EXACT(RIGHT(M2,2),"Hz"),IF(ABS(VALUE(LEFT(M2,FIND(" ",M2,1)))-N2)&lt;=0.5,1,-1),-1))</f>
        <v>0</v>
      </c>
      <c r="Q2" s="52" t="s">
        <v>15</v>
      </c>
      <c r="R2" s="40">
        <f>96000/(2^(J2+4))</f>
        <v>23.4375</v>
      </c>
      <c r="S2" s="33" t="s">
        <v>166</v>
      </c>
      <c r="T2" s="31">
        <f>IF(Q2="",0,IF(EXACT(RIGHT(Q2,2),"Hz"),IF(ABS(VALUE(LEFT(Q2,FIND(" ",Q2,1)))-R2)&lt;=0.5,1,-1),-1))</f>
        <v>1</v>
      </c>
      <c r="U2" s="54"/>
      <c r="V2" s="34">
        <f>2000+K2*100+4000+J2*100-1</f>
        <v>7199</v>
      </c>
      <c r="W2" s="33" t="s">
        <v>169</v>
      </c>
      <c r="X2" s="31">
        <f>IF(U2="",0,IF(EXACT(RIGHT(U2,7),"samples"),IF(ABS(VALUE(LEFT(U2,FIND(" ",U2,1)))-V2)&lt;=0.5,1,-1),-1))</f>
        <v>0</v>
      </c>
      <c r="Y2" s="52">
        <v>0.75</v>
      </c>
      <c r="Z2" s="46">
        <f>1-((2+K2/4-1)/(2+K2/4+1))^2</f>
        <v>0.75</v>
      </c>
      <c r="AA2" s="31">
        <f>IF(Y2="",0,IF(ABS(Y2-Z2)&lt;=0.1,1,-1))</f>
        <v>1</v>
      </c>
      <c r="AB2" s="55"/>
      <c r="AC2" s="40">
        <f>20*LOG10(COS((30+K2*5)/180*PI()))</f>
        <v>-3.8386500649513016</v>
      </c>
      <c r="AD2" s="33" t="s">
        <v>172</v>
      </c>
      <c r="AE2" s="31">
        <f t="shared" ref="AE2:AE28" si="6">IF(AB2="",0,IF(EXACT(RIGHT(AB2,2),"dB"),IF(ABS(VALUE(ABS(LEFT(AB2,FIND(" ",AB2,1))))-ABS(AC2))&lt;=0.5,1,-1),-1))</f>
        <v>0</v>
      </c>
      <c r="AF2" s="54"/>
      <c r="AG2" s="40">
        <f>20*LOG10(10+K2)</f>
        <v>22.92256071356476</v>
      </c>
      <c r="AH2" s="33" t="s">
        <v>172</v>
      </c>
      <c r="AI2" s="31">
        <f t="shared" ref="AI2" si="7">IF(AF2="",0,IF(EXACT(RIGHT(AF2,2),"dB"),IF(ABS(VALUE(ABS(LEFT(AF2,FIND(" ",AF2,1))))-ABS(AG2))&lt;=0.5,1,-1),-1))</f>
        <v>0</v>
      </c>
      <c r="AJ2" s="52" t="s">
        <v>16</v>
      </c>
      <c r="AK2" s="31">
        <v>1</v>
      </c>
      <c r="AL2" s="52" t="s">
        <v>17</v>
      </c>
      <c r="AM2" s="31">
        <f>IF(ISERROR(FIND("A stereo ORTF recording is optimal for listening over a pair of loudspeakers",AL2,1)),0,AM$1)</f>
        <v>1</v>
      </c>
      <c r="AN2" s="31">
        <f>IF(ISERROR(FIND("Surround 5.1 soundtracks are usually obtained by an Ambisonics microphone",AL2,1)),0,AN$1)</f>
        <v>0</v>
      </c>
      <c r="AO2" s="31">
        <f>IF(ISERROR(FIND("Surround 5.1 soundtracks are usually created in studio by panning several mono sources",AL2,1)),0,AO$1)</f>
        <v>1</v>
      </c>
      <c r="AP2" s="31">
        <f>IF(ISERROR(FIND("Binaural reproduction with head-tracking on headphones requires a binaural dummy head recording",AL2,1)),0,AP$1)</f>
        <v>0</v>
      </c>
      <c r="AQ2" s="31">
        <f>IF(ISERROR(FIND("Binaural reproduction with head-tracking on headphones requires a Soundfield B-format recording",AL2,1)),0,AQ$1)</f>
        <v>1</v>
      </c>
      <c r="AR2" s="31">
        <f>IF(ISERROR(FIND("A WFS loudspeaker array provides complete 3D sound field reconstruction over a large listening area",AM2,1)),0,AR$1)</f>
        <v>0</v>
      </c>
      <c r="AS2" s="49">
        <f>L2+P2+T2+X2+AA2+AE2+AI2+SUM(AM2:AR2)+AK2</f>
        <v>8</v>
      </c>
    </row>
    <row r="3" spans="1:45" ht="12.75" x14ac:dyDescent="0.2">
      <c r="A3" s="50">
        <v>2</v>
      </c>
      <c r="B3" s="51">
        <v>43819.740714386571</v>
      </c>
      <c r="C3" s="52" t="s">
        <v>18</v>
      </c>
      <c r="D3" s="52" t="s">
        <v>19</v>
      </c>
      <c r="E3" s="53">
        <v>313896</v>
      </c>
      <c r="F3" s="30">
        <f t="shared" ref="F3:F28" si="8">INT(E3/100000)</f>
        <v>3</v>
      </c>
      <c r="G3" s="30">
        <f t="shared" ref="G3:G28" si="9">INT(($E3-100000*F3)/10000)</f>
        <v>1</v>
      </c>
      <c r="H3" s="30">
        <f t="shared" ref="H3:H28" si="10">INT(($E3-100000*F3-10000*G3)/1000)</f>
        <v>3</v>
      </c>
      <c r="I3" s="30">
        <f t="shared" si="3"/>
        <v>8</v>
      </c>
      <c r="J3" s="30">
        <f t="shared" si="4"/>
        <v>9</v>
      </c>
      <c r="K3" s="30">
        <f t="shared" si="5"/>
        <v>6</v>
      </c>
      <c r="L3" s="31">
        <v>2</v>
      </c>
      <c r="M3" s="52" t="s">
        <v>20</v>
      </c>
      <c r="N3" s="34">
        <f t="shared" ref="N3:N4" si="11">(48-(50+K3*2-48))*1000</f>
        <v>34000</v>
      </c>
      <c r="O3" s="33" t="s">
        <v>166</v>
      </c>
      <c r="P3" s="31">
        <f t="shared" ref="P3:P4" si="12">IF(M3="",0,IF(EXACT(RIGHT(M3,2),"Hz"),IF(ABS(VALUE(LEFT(M3,FIND(" ",M3,1)))-N3)&lt;=0.5,1,-1),-1))</f>
        <v>1</v>
      </c>
      <c r="Q3" s="52" t="s">
        <v>21</v>
      </c>
      <c r="R3" s="40">
        <f t="shared" ref="R3:R28" si="13">96000/(2^(J3+4))</f>
        <v>11.71875</v>
      </c>
      <c r="S3" s="33" t="s">
        <v>166</v>
      </c>
      <c r="T3" s="31">
        <f t="shared" ref="T3:T28" si="14">IF(Q3="",0,IF(EXACT(RIGHT(Q3,2),"Hz"),IF(ABS(VALUE(LEFT(Q3,FIND(" ",Q3,1)))-R3)&lt;=0.5,1,-1),-1))</f>
        <v>1</v>
      </c>
      <c r="U3" s="52">
        <v>7493</v>
      </c>
      <c r="V3" s="34">
        <f t="shared" ref="V3:V28" si="15">2000+K3*100+4000+J3*100-1</f>
        <v>7499</v>
      </c>
      <c r="W3" s="33" t="s">
        <v>169</v>
      </c>
      <c r="X3" s="31">
        <f t="shared" ref="X3:X22" si="16">IF(U3="",0,IF(EXACT(RIGHT(U3,7),"samples"),IF(ABS(VALUE(LEFT(U3,FIND(" ",U3,1)))-V3)&lt;=0.5,1,-1),-1))</f>
        <v>-1</v>
      </c>
      <c r="Y3" s="52">
        <v>0.69130000000000003</v>
      </c>
      <c r="Z3" s="46">
        <f t="shared" ref="Z3:Z28" si="17">1-((2+K3/4-1)/(2+K3/4+1))^2</f>
        <v>0.69135802469135799</v>
      </c>
      <c r="AA3" s="31">
        <f t="shared" ref="AA3:AA28" si="18">IF(Y3="",0,IF(ABS(Y3-Z3)&lt;=0.1,1,-1))</f>
        <v>1</v>
      </c>
      <c r="AB3" s="56" t="s">
        <v>22</v>
      </c>
      <c r="AC3" s="40">
        <f t="shared" ref="AC3:AC28" si="19">20*LOG10(COS((30+K3*5)/180*PI()))</f>
        <v>-6.0205999132796215</v>
      </c>
      <c r="AD3" s="33" t="s">
        <v>172</v>
      </c>
      <c r="AE3" s="31">
        <f>IF(AB3="",0,IF(EXACT(RIGHT(AB3,2),"dB"),IF(ABS(VALUE(ABS(LEFT(AB3,FIND(" ",AB3,1))))-ABS(AC3))&lt;=0.5,1,-1),-1))</f>
        <v>1</v>
      </c>
      <c r="AF3" s="52" t="s">
        <v>23</v>
      </c>
      <c r="AG3" s="40">
        <f t="shared" ref="AG3:AG28" si="20">20*LOG10(10+K3)</f>
        <v>24.082399653118497</v>
      </c>
      <c r="AH3" s="33" t="s">
        <v>172</v>
      </c>
      <c r="AI3" s="31">
        <f t="shared" ref="AI3:AI28" si="21">IF(AF3="",0,IF(EXACT(RIGHT(AF3,2),"dB"),IF(ABS(VALUE(ABS(LEFT(AF3,FIND(" ",AF3,1))))-ABS(AG3))&lt;=0.5,1,-1),-1))</f>
        <v>1</v>
      </c>
      <c r="AJ3" s="52" t="s">
        <v>16</v>
      </c>
      <c r="AK3" s="31">
        <v>1</v>
      </c>
      <c r="AL3" s="52" t="s">
        <v>17</v>
      </c>
      <c r="AM3" s="31">
        <f t="shared" ref="AM3:AM28" si="22">IF(ISERROR(FIND("A stereo ORTF recording is optimal for listening over a pair of loudspeakers",AL3,1)),0,AM$1)</f>
        <v>1</v>
      </c>
      <c r="AN3" s="31">
        <f t="shared" ref="AN3:AN28" si="23">IF(ISERROR(FIND("Surround 5.1 soundtracks are usually obtained by an Ambisonics microphone",AL3,1)),0,AN$1)</f>
        <v>0</v>
      </c>
      <c r="AO3" s="31">
        <f t="shared" ref="AO3:AO28" si="24">IF(ISERROR(FIND("Surround 5.1 soundtracks are usually created in studio by panning several mono sources",AL3,1)),0,AO$1)</f>
        <v>1</v>
      </c>
      <c r="AP3" s="31">
        <f t="shared" ref="AP3:AP28" si="25">IF(ISERROR(FIND("Binaural reproduction with head-tracking on headphones requires a binaural dummy head recording",AL3,1)),0,AP$1)</f>
        <v>0</v>
      </c>
      <c r="AQ3" s="31">
        <f t="shared" ref="AQ3:AQ28" si="26">IF(ISERROR(FIND("Binaural reproduction with head-tracking on headphones requires a Soundfield B-format recording",AL3,1)),0,AQ$1)</f>
        <v>1</v>
      </c>
      <c r="AR3" s="31">
        <f t="shared" ref="AR3:AR28" si="27">IF(ISERROR(FIND("A WFS loudspeaker array provides complete 3D sound field reconstruction over a large listening area",AM3,1)),0,AR$1)</f>
        <v>0</v>
      </c>
      <c r="AS3" s="49">
        <f t="shared" ref="AS3:AS28" si="28">L3+P3+T3+X3+AA3+AE3+AI3+SUM(AM3:AR3)+AK3</f>
        <v>10</v>
      </c>
    </row>
    <row r="4" spans="1:45" ht="12.75" x14ac:dyDescent="0.2">
      <c r="A4" s="50">
        <v>3</v>
      </c>
      <c r="B4" s="51">
        <v>43819.742350347224</v>
      </c>
      <c r="C4" s="52" t="s">
        <v>24</v>
      </c>
      <c r="D4" s="52" t="s">
        <v>25</v>
      </c>
      <c r="E4" s="53">
        <v>265791</v>
      </c>
      <c r="F4" s="30">
        <f t="shared" si="8"/>
        <v>2</v>
      </c>
      <c r="G4" s="30">
        <f t="shared" si="9"/>
        <v>6</v>
      </c>
      <c r="H4" s="30">
        <f t="shared" si="10"/>
        <v>5</v>
      </c>
      <c r="I4" s="30">
        <f t="shared" si="3"/>
        <v>7</v>
      </c>
      <c r="J4" s="30">
        <f t="shared" si="4"/>
        <v>9</v>
      </c>
      <c r="K4" s="30">
        <f t="shared" si="5"/>
        <v>1</v>
      </c>
      <c r="L4" s="31">
        <v>2</v>
      </c>
      <c r="M4" s="52" t="s">
        <v>26</v>
      </c>
      <c r="N4" s="34">
        <f t="shared" si="11"/>
        <v>44000</v>
      </c>
      <c r="O4" s="33" t="s">
        <v>166</v>
      </c>
      <c r="P4" s="31">
        <f t="shared" si="12"/>
        <v>1</v>
      </c>
      <c r="Q4" s="52" t="s">
        <v>21</v>
      </c>
      <c r="R4" s="40">
        <f t="shared" si="13"/>
        <v>11.71875</v>
      </c>
      <c r="S4" s="33" t="s">
        <v>166</v>
      </c>
      <c r="T4" s="31">
        <f t="shared" si="14"/>
        <v>1</v>
      </c>
      <c r="U4" s="52" t="s">
        <v>27</v>
      </c>
      <c r="V4" s="34">
        <f t="shared" si="15"/>
        <v>6999</v>
      </c>
      <c r="W4" s="33" t="s">
        <v>169</v>
      </c>
      <c r="X4" s="31">
        <v>1</v>
      </c>
      <c r="Y4" s="52">
        <v>0.85199999999999998</v>
      </c>
      <c r="Z4" s="46">
        <f t="shared" si="17"/>
        <v>0.85207100591715978</v>
      </c>
      <c r="AA4" s="31">
        <f t="shared" si="18"/>
        <v>1</v>
      </c>
      <c r="AB4" s="56" t="s">
        <v>28</v>
      </c>
      <c r="AC4" s="40">
        <f t="shared" si="19"/>
        <v>-1.7327096115028411</v>
      </c>
      <c r="AD4" s="33" t="s">
        <v>172</v>
      </c>
      <c r="AE4" s="31">
        <f t="shared" ref="AE4:AE28" si="29">IF(AB4="",0,IF(EXACT(RIGHT(AB4,2),"dB"),IF(ABS(VALUE(ABS(LEFT(AB4,FIND(" ",AB4,1))))-ABS(AC4))&lt;=0.5,1,-1),-1))</f>
        <v>1</v>
      </c>
      <c r="AF4" s="57">
        <v>20.827999999999999</v>
      </c>
      <c r="AG4" s="40">
        <f t="shared" si="20"/>
        <v>20.827853703164504</v>
      </c>
      <c r="AH4" s="33" t="s">
        <v>172</v>
      </c>
      <c r="AI4" s="31">
        <f t="shared" si="21"/>
        <v>-1</v>
      </c>
      <c r="AJ4" s="52" t="s">
        <v>16</v>
      </c>
      <c r="AK4" s="31">
        <v>1</v>
      </c>
      <c r="AL4" s="52" t="s">
        <v>17</v>
      </c>
      <c r="AM4" s="31">
        <f t="shared" si="22"/>
        <v>1</v>
      </c>
      <c r="AN4" s="31">
        <f t="shared" si="23"/>
        <v>0</v>
      </c>
      <c r="AO4" s="31">
        <f t="shared" si="24"/>
        <v>1</v>
      </c>
      <c r="AP4" s="31">
        <f t="shared" si="25"/>
        <v>0</v>
      </c>
      <c r="AQ4" s="31">
        <f t="shared" si="26"/>
        <v>1</v>
      </c>
      <c r="AR4" s="31">
        <f t="shared" si="27"/>
        <v>0</v>
      </c>
      <c r="AS4" s="49">
        <f t="shared" si="28"/>
        <v>10</v>
      </c>
    </row>
    <row r="5" spans="1:45" ht="12.75" x14ac:dyDescent="0.2">
      <c r="A5" s="50">
        <v>4</v>
      </c>
      <c r="B5" s="51">
        <v>43819.742766087962</v>
      </c>
      <c r="C5" s="52" t="s">
        <v>29</v>
      </c>
      <c r="D5" s="52" t="s">
        <v>30</v>
      </c>
      <c r="E5" s="53">
        <v>293860</v>
      </c>
      <c r="F5" s="30">
        <f t="shared" si="8"/>
        <v>2</v>
      </c>
      <c r="G5" s="30">
        <f t="shared" si="9"/>
        <v>9</v>
      </c>
      <c r="H5" s="30">
        <f t="shared" si="10"/>
        <v>3</v>
      </c>
      <c r="I5" s="30">
        <f t="shared" si="3"/>
        <v>8</v>
      </c>
      <c r="J5" s="30">
        <f t="shared" si="4"/>
        <v>6</v>
      </c>
      <c r="K5" s="30">
        <f t="shared" si="5"/>
        <v>0</v>
      </c>
      <c r="L5" s="31">
        <v>2</v>
      </c>
      <c r="M5" s="52" t="s">
        <v>31</v>
      </c>
      <c r="N5" s="34">
        <f>48-(50+K5*2-48)</f>
        <v>46</v>
      </c>
      <c r="O5" s="33" t="s">
        <v>159</v>
      </c>
      <c r="P5" s="31">
        <f t="shared" ref="P5:P26" si="30">IF(M5="",0,IF(EXACT(RIGHT(M5,3),"kHz"),IF(ABS(VALUE(LEFT(M5,FIND(" ",M5,1)))-N5)&lt;=0.5,1,-1),-1))</f>
        <v>-1</v>
      </c>
      <c r="Q5" s="52" t="s">
        <v>32</v>
      </c>
      <c r="R5" s="40">
        <f t="shared" si="13"/>
        <v>93.75</v>
      </c>
      <c r="S5" s="33" t="s">
        <v>166</v>
      </c>
      <c r="T5" s="31">
        <f t="shared" si="14"/>
        <v>-1</v>
      </c>
      <c r="U5" s="52" t="s">
        <v>33</v>
      </c>
      <c r="V5" s="34">
        <f t="shared" si="15"/>
        <v>6599</v>
      </c>
      <c r="W5" s="33" t="s">
        <v>169</v>
      </c>
      <c r="X5" s="31">
        <v>1</v>
      </c>
      <c r="Y5" s="52">
        <v>0.9</v>
      </c>
      <c r="Z5" s="46">
        <f t="shared" si="17"/>
        <v>0.88888888888888884</v>
      </c>
      <c r="AA5" s="31">
        <f t="shared" si="18"/>
        <v>1</v>
      </c>
      <c r="AB5" s="55"/>
      <c r="AC5" s="40">
        <f t="shared" si="19"/>
        <v>-1.2493873660829988</v>
      </c>
      <c r="AD5" s="33" t="s">
        <v>172</v>
      </c>
      <c r="AE5" s="31">
        <f t="shared" si="29"/>
        <v>0</v>
      </c>
      <c r="AF5" s="54"/>
      <c r="AG5" s="40">
        <f t="shared" si="20"/>
        <v>20</v>
      </c>
      <c r="AH5" s="33" t="s">
        <v>172</v>
      </c>
      <c r="AI5" s="31">
        <f t="shared" si="21"/>
        <v>0</v>
      </c>
      <c r="AJ5" s="52" t="s">
        <v>16</v>
      </c>
      <c r="AK5" s="31">
        <v>1</v>
      </c>
      <c r="AL5" s="52" t="s">
        <v>17</v>
      </c>
      <c r="AM5" s="31">
        <f t="shared" si="22"/>
        <v>1</v>
      </c>
      <c r="AN5" s="31">
        <f t="shared" si="23"/>
        <v>0</v>
      </c>
      <c r="AO5" s="31">
        <f t="shared" si="24"/>
        <v>1</v>
      </c>
      <c r="AP5" s="31">
        <f t="shared" si="25"/>
        <v>0</v>
      </c>
      <c r="AQ5" s="31">
        <f t="shared" si="26"/>
        <v>1</v>
      </c>
      <c r="AR5" s="31">
        <f t="shared" si="27"/>
        <v>0</v>
      </c>
      <c r="AS5" s="49">
        <f t="shared" si="28"/>
        <v>6</v>
      </c>
    </row>
    <row r="6" spans="1:45" ht="12.75" x14ac:dyDescent="0.2">
      <c r="A6" s="50">
        <v>5</v>
      </c>
      <c r="B6" s="51">
        <v>43819.743147581015</v>
      </c>
      <c r="C6" s="52" t="s">
        <v>34</v>
      </c>
      <c r="D6" s="52" t="s">
        <v>35</v>
      </c>
      <c r="E6" s="53">
        <v>314987</v>
      </c>
      <c r="F6" s="30">
        <f t="shared" si="8"/>
        <v>3</v>
      </c>
      <c r="G6" s="30">
        <f t="shared" si="9"/>
        <v>1</v>
      </c>
      <c r="H6" s="30">
        <f t="shared" si="10"/>
        <v>4</v>
      </c>
      <c r="I6" s="30">
        <f t="shared" si="3"/>
        <v>9</v>
      </c>
      <c r="J6" s="30">
        <f t="shared" si="4"/>
        <v>8</v>
      </c>
      <c r="K6" s="30">
        <f t="shared" si="5"/>
        <v>7</v>
      </c>
      <c r="L6" s="31">
        <v>2</v>
      </c>
      <c r="M6" s="52" t="s">
        <v>36</v>
      </c>
      <c r="N6" s="34">
        <f t="shared" ref="N6:N9" si="31">(48-(50+K6*2-48))*1000</f>
        <v>32000</v>
      </c>
      <c r="O6" s="33" t="s">
        <v>166</v>
      </c>
      <c r="P6" s="31">
        <f t="shared" ref="P6:P10" si="32">IF(M6="",0,IF(EXACT(RIGHT(M6,2),"Hz"),IF(ABS(VALUE(LEFT(M6,FIND(" ",M6,1)))-N6)&lt;=0.5,1,-1),-1))</f>
        <v>1</v>
      </c>
      <c r="Q6" s="52" t="s">
        <v>37</v>
      </c>
      <c r="R6" s="40">
        <f t="shared" si="13"/>
        <v>23.4375</v>
      </c>
      <c r="S6" s="33" t="s">
        <v>166</v>
      </c>
      <c r="T6" s="31">
        <f t="shared" si="14"/>
        <v>1</v>
      </c>
      <c r="U6" s="54"/>
      <c r="V6" s="34">
        <f t="shared" si="15"/>
        <v>7499</v>
      </c>
      <c r="W6" s="33" t="s">
        <v>169</v>
      </c>
      <c r="X6" s="31">
        <f t="shared" si="16"/>
        <v>0</v>
      </c>
      <c r="Y6" s="52">
        <v>0.66</v>
      </c>
      <c r="Z6" s="46">
        <f t="shared" si="17"/>
        <v>0.66481994459833793</v>
      </c>
      <c r="AA6" s="31">
        <f t="shared" si="18"/>
        <v>1</v>
      </c>
      <c r="AB6" s="56" t="s">
        <v>38</v>
      </c>
      <c r="AC6" s="40">
        <f t="shared" si="19"/>
        <v>-7.4810348119372048</v>
      </c>
      <c r="AD6" s="33" t="s">
        <v>172</v>
      </c>
      <c r="AE6" s="31">
        <f t="shared" si="29"/>
        <v>1</v>
      </c>
      <c r="AF6" s="52" t="s">
        <v>39</v>
      </c>
      <c r="AG6" s="40">
        <f t="shared" si="20"/>
        <v>24.608978427565479</v>
      </c>
      <c r="AH6" s="33" t="s">
        <v>172</v>
      </c>
      <c r="AI6" s="31">
        <f t="shared" si="21"/>
        <v>1</v>
      </c>
      <c r="AJ6" s="52" t="s">
        <v>16</v>
      </c>
      <c r="AK6" s="31">
        <v>1</v>
      </c>
      <c r="AL6" s="52" t="s">
        <v>17</v>
      </c>
      <c r="AM6" s="31">
        <f t="shared" si="22"/>
        <v>1</v>
      </c>
      <c r="AN6" s="31">
        <f t="shared" si="23"/>
        <v>0</v>
      </c>
      <c r="AO6" s="31">
        <f t="shared" si="24"/>
        <v>1</v>
      </c>
      <c r="AP6" s="31">
        <f t="shared" si="25"/>
        <v>0</v>
      </c>
      <c r="AQ6" s="31">
        <f t="shared" si="26"/>
        <v>1</v>
      </c>
      <c r="AR6" s="31">
        <f t="shared" si="27"/>
        <v>0</v>
      </c>
      <c r="AS6" s="49">
        <f t="shared" si="28"/>
        <v>11</v>
      </c>
    </row>
    <row r="7" spans="1:45" ht="12.75" x14ac:dyDescent="0.2">
      <c r="A7" s="50">
        <v>6</v>
      </c>
      <c r="B7" s="51">
        <v>43819.743905219904</v>
      </c>
      <c r="C7" s="52" t="s">
        <v>40</v>
      </c>
      <c r="D7" s="52" t="s">
        <v>41</v>
      </c>
      <c r="E7" s="53">
        <v>259267</v>
      </c>
      <c r="F7" s="30">
        <f t="shared" si="8"/>
        <v>2</v>
      </c>
      <c r="G7" s="30">
        <f t="shared" si="9"/>
        <v>5</v>
      </c>
      <c r="H7" s="30">
        <f t="shared" si="10"/>
        <v>9</v>
      </c>
      <c r="I7" s="30">
        <f t="shared" si="3"/>
        <v>2</v>
      </c>
      <c r="J7" s="30">
        <f t="shared" si="4"/>
        <v>6</v>
      </c>
      <c r="K7" s="30">
        <f t="shared" si="5"/>
        <v>7</v>
      </c>
      <c r="L7" s="31">
        <v>2</v>
      </c>
      <c r="M7" s="56" t="s">
        <v>36</v>
      </c>
      <c r="N7" s="34">
        <f t="shared" si="31"/>
        <v>32000</v>
      </c>
      <c r="O7" s="33" t="s">
        <v>166</v>
      </c>
      <c r="P7" s="31">
        <f t="shared" si="32"/>
        <v>1</v>
      </c>
      <c r="Q7" s="56" t="s">
        <v>42</v>
      </c>
      <c r="R7" s="40">
        <f t="shared" si="13"/>
        <v>93.75</v>
      </c>
      <c r="S7" s="33" t="s">
        <v>166</v>
      </c>
      <c r="T7" s="31">
        <f t="shared" si="14"/>
        <v>1</v>
      </c>
      <c r="U7" s="56">
        <v>7299</v>
      </c>
      <c r="V7" s="34">
        <f t="shared" si="15"/>
        <v>7299</v>
      </c>
      <c r="W7" s="33" t="s">
        <v>169</v>
      </c>
      <c r="X7" s="31">
        <v>1</v>
      </c>
      <c r="Y7" s="52">
        <v>0.66479999999999995</v>
      </c>
      <c r="Z7" s="46">
        <f t="shared" si="17"/>
        <v>0.66481994459833793</v>
      </c>
      <c r="AA7" s="31">
        <f t="shared" si="18"/>
        <v>1</v>
      </c>
      <c r="AB7" s="56" t="s">
        <v>38</v>
      </c>
      <c r="AC7" s="40">
        <f t="shared" si="19"/>
        <v>-7.4810348119372048</v>
      </c>
      <c r="AD7" s="33" t="s">
        <v>172</v>
      </c>
      <c r="AE7" s="31">
        <f t="shared" si="29"/>
        <v>1</v>
      </c>
      <c r="AF7" s="52" t="s">
        <v>43</v>
      </c>
      <c r="AG7" s="40">
        <f t="shared" si="20"/>
        <v>24.608978427565479</v>
      </c>
      <c r="AH7" s="33" t="s">
        <v>172</v>
      </c>
      <c r="AI7" s="31">
        <f t="shared" si="21"/>
        <v>1</v>
      </c>
      <c r="AJ7" s="52" t="s">
        <v>16</v>
      </c>
      <c r="AK7" s="31">
        <v>1</v>
      </c>
      <c r="AL7" s="52" t="s">
        <v>17</v>
      </c>
      <c r="AM7" s="31">
        <f t="shared" si="22"/>
        <v>1</v>
      </c>
      <c r="AN7" s="31">
        <f t="shared" si="23"/>
        <v>0</v>
      </c>
      <c r="AO7" s="31">
        <f t="shared" si="24"/>
        <v>1</v>
      </c>
      <c r="AP7" s="31">
        <f t="shared" si="25"/>
        <v>0</v>
      </c>
      <c r="AQ7" s="31">
        <f t="shared" si="26"/>
        <v>1</v>
      </c>
      <c r="AR7" s="31">
        <f t="shared" si="27"/>
        <v>0</v>
      </c>
      <c r="AS7" s="49">
        <f t="shared" si="28"/>
        <v>12</v>
      </c>
    </row>
    <row r="8" spans="1:45" ht="12.75" x14ac:dyDescent="0.2">
      <c r="A8" s="50">
        <v>7</v>
      </c>
      <c r="B8" s="51">
        <v>43819.743994965276</v>
      </c>
      <c r="C8" s="52" t="s">
        <v>44</v>
      </c>
      <c r="D8" s="52" t="s">
        <v>45</v>
      </c>
      <c r="E8" s="53">
        <v>306818</v>
      </c>
      <c r="F8" s="30">
        <f t="shared" si="8"/>
        <v>3</v>
      </c>
      <c r="G8" s="30">
        <f t="shared" si="9"/>
        <v>0</v>
      </c>
      <c r="H8" s="30">
        <f t="shared" si="10"/>
        <v>6</v>
      </c>
      <c r="I8" s="30">
        <f t="shared" si="3"/>
        <v>8</v>
      </c>
      <c r="J8" s="30">
        <f t="shared" si="4"/>
        <v>1</v>
      </c>
      <c r="K8" s="30">
        <f t="shared" si="5"/>
        <v>8</v>
      </c>
      <c r="L8" s="31">
        <v>2</v>
      </c>
      <c r="M8" s="56" t="s">
        <v>46</v>
      </c>
      <c r="N8" s="34">
        <f t="shared" si="31"/>
        <v>30000</v>
      </c>
      <c r="O8" s="33" t="s">
        <v>166</v>
      </c>
      <c r="P8" s="31">
        <f t="shared" si="32"/>
        <v>1</v>
      </c>
      <c r="Q8" s="56" t="s">
        <v>47</v>
      </c>
      <c r="R8" s="34">
        <f t="shared" si="13"/>
        <v>3000</v>
      </c>
      <c r="S8" s="33" t="s">
        <v>166</v>
      </c>
      <c r="T8" s="31">
        <f t="shared" si="14"/>
        <v>1</v>
      </c>
      <c r="U8" s="55"/>
      <c r="V8" s="34">
        <f t="shared" si="15"/>
        <v>6899</v>
      </c>
      <c r="W8" s="33" t="s">
        <v>169</v>
      </c>
      <c r="X8" s="31">
        <f t="shared" si="16"/>
        <v>0</v>
      </c>
      <c r="Y8" s="52">
        <v>0.64</v>
      </c>
      <c r="Z8" s="46">
        <f t="shared" si="17"/>
        <v>0.64</v>
      </c>
      <c r="AA8" s="31">
        <f t="shared" si="18"/>
        <v>1</v>
      </c>
      <c r="AB8" s="55"/>
      <c r="AC8" s="40">
        <f t="shared" si="19"/>
        <v>-9.3189663070896529</v>
      </c>
      <c r="AD8" s="33" t="s">
        <v>172</v>
      </c>
      <c r="AE8" s="31">
        <f t="shared" si="29"/>
        <v>0</v>
      </c>
      <c r="AF8" s="52" t="s">
        <v>48</v>
      </c>
      <c r="AG8" s="40">
        <f t="shared" si="20"/>
        <v>25.105450102066122</v>
      </c>
      <c r="AH8" s="33" t="s">
        <v>172</v>
      </c>
      <c r="AI8" s="31">
        <f t="shared" si="21"/>
        <v>1</v>
      </c>
      <c r="AJ8" s="52" t="s">
        <v>16</v>
      </c>
      <c r="AK8" s="31">
        <v>1</v>
      </c>
      <c r="AL8" s="52" t="s">
        <v>17</v>
      </c>
      <c r="AM8" s="31">
        <f t="shared" si="22"/>
        <v>1</v>
      </c>
      <c r="AN8" s="31">
        <f t="shared" si="23"/>
        <v>0</v>
      </c>
      <c r="AO8" s="31">
        <f t="shared" si="24"/>
        <v>1</v>
      </c>
      <c r="AP8" s="31">
        <f t="shared" si="25"/>
        <v>0</v>
      </c>
      <c r="AQ8" s="31">
        <f t="shared" si="26"/>
        <v>1</v>
      </c>
      <c r="AR8" s="31">
        <f t="shared" si="27"/>
        <v>0</v>
      </c>
      <c r="AS8" s="49">
        <f t="shared" si="28"/>
        <v>10</v>
      </c>
    </row>
    <row r="9" spans="1:45" ht="12.75" x14ac:dyDescent="0.2">
      <c r="A9" s="50">
        <v>8</v>
      </c>
      <c r="B9" s="51">
        <v>43819.744594942131</v>
      </c>
      <c r="C9" s="52" t="s">
        <v>49</v>
      </c>
      <c r="D9" s="52" t="s">
        <v>50</v>
      </c>
      <c r="E9" s="53">
        <v>302598</v>
      </c>
      <c r="F9" s="30">
        <f t="shared" si="8"/>
        <v>3</v>
      </c>
      <c r="G9" s="30">
        <f t="shared" si="9"/>
        <v>0</v>
      </c>
      <c r="H9" s="30">
        <f t="shared" si="10"/>
        <v>2</v>
      </c>
      <c r="I9" s="30">
        <f t="shared" si="3"/>
        <v>5</v>
      </c>
      <c r="J9" s="30">
        <f t="shared" si="4"/>
        <v>9</v>
      </c>
      <c r="K9" s="30">
        <f t="shared" si="5"/>
        <v>8</v>
      </c>
      <c r="L9" s="31">
        <v>2</v>
      </c>
      <c r="M9" s="56" t="s">
        <v>46</v>
      </c>
      <c r="N9" s="34">
        <f t="shared" si="31"/>
        <v>30000</v>
      </c>
      <c r="O9" s="33" t="s">
        <v>166</v>
      </c>
      <c r="P9" s="31">
        <f t="shared" si="32"/>
        <v>1</v>
      </c>
      <c r="Q9" s="56" t="s">
        <v>51</v>
      </c>
      <c r="R9" s="40">
        <f t="shared" si="13"/>
        <v>11.71875</v>
      </c>
      <c r="S9" s="33" t="s">
        <v>166</v>
      </c>
      <c r="T9" s="31">
        <f t="shared" si="14"/>
        <v>1</v>
      </c>
      <c r="U9" s="55"/>
      <c r="V9" s="34">
        <f t="shared" si="15"/>
        <v>7699</v>
      </c>
      <c r="W9" s="33" t="s">
        <v>169</v>
      </c>
      <c r="X9" s="31">
        <f t="shared" si="16"/>
        <v>0</v>
      </c>
      <c r="Y9" s="52">
        <v>0.64</v>
      </c>
      <c r="Z9" s="46">
        <f t="shared" si="17"/>
        <v>0.64</v>
      </c>
      <c r="AA9" s="31">
        <f t="shared" si="18"/>
        <v>1</v>
      </c>
      <c r="AB9" s="56" t="s">
        <v>52</v>
      </c>
      <c r="AC9" s="40">
        <f t="shared" si="19"/>
        <v>-9.3189663070896529</v>
      </c>
      <c r="AD9" s="33" t="s">
        <v>172</v>
      </c>
      <c r="AE9" s="31">
        <f t="shared" si="29"/>
        <v>1</v>
      </c>
      <c r="AF9" s="52" t="s">
        <v>53</v>
      </c>
      <c r="AG9" s="40">
        <f t="shared" si="20"/>
        <v>25.105450102066122</v>
      </c>
      <c r="AH9" s="33" t="s">
        <v>172</v>
      </c>
      <c r="AI9" s="31">
        <f t="shared" si="21"/>
        <v>1</v>
      </c>
      <c r="AJ9" s="52" t="s">
        <v>16</v>
      </c>
      <c r="AK9" s="31">
        <v>1</v>
      </c>
      <c r="AL9" s="52" t="s">
        <v>54</v>
      </c>
      <c r="AM9" s="31">
        <f t="shared" si="22"/>
        <v>1</v>
      </c>
      <c r="AN9" s="31">
        <f t="shared" si="23"/>
        <v>0</v>
      </c>
      <c r="AO9" s="31">
        <f t="shared" si="24"/>
        <v>1</v>
      </c>
      <c r="AP9" s="31">
        <f t="shared" si="25"/>
        <v>0</v>
      </c>
      <c r="AQ9" s="31">
        <f t="shared" si="26"/>
        <v>0</v>
      </c>
      <c r="AR9" s="31">
        <f t="shared" si="27"/>
        <v>0</v>
      </c>
      <c r="AS9" s="49">
        <f t="shared" si="28"/>
        <v>10</v>
      </c>
    </row>
    <row r="10" spans="1:45" ht="12.75" x14ac:dyDescent="0.2">
      <c r="A10" s="50">
        <v>9</v>
      </c>
      <c r="B10" s="51">
        <v>43819.744947129628</v>
      </c>
      <c r="C10" s="52" t="s">
        <v>55</v>
      </c>
      <c r="D10" s="52" t="s">
        <v>56</v>
      </c>
      <c r="E10" s="53">
        <v>313336</v>
      </c>
      <c r="F10" s="30">
        <f t="shared" si="8"/>
        <v>3</v>
      </c>
      <c r="G10" s="30">
        <f t="shared" si="9"/>
        <v>1</v>
      </c>
      <c r="H10" s="30">
        <f t="shared" si="10"/>
        <v>3</v>
      </c>
      <c r="I10" s="30">
        <f t="shared" si="3"/>
        <v>3</v>
      </c>
      <c r="J10" s="30">
        <f t="shared" si="4"/>
        <v>3</v>
      </c>
      <c r="K10" s="30">
        <f t="shared" si="5"/>
        <v>6</v>
      </c>
      <c r="L10" s="31">
        <v>2</v>
      </c>
      <c r="M10" s="56" t="s">
        <v>20</v>
      </c>
      <c r="N10" s="34">
        <f>(48-(50+K10*2-48))*1000</f>
        <v>34000</v>
      </c>
      <c r="O10" s="33" t="s">
        <v>166</v>
      </c>
      <c r="P10" s="31">
        <f t="shared" si="32"/>
        <v>1</v>
      </c>
      <c r="Q10" s="56" t="s">
        <v>57</v>
      </c>
      <c r="R10" s="34">
        <f t="shared" si="13"/>
        <v>750</v>
      </c>
      <c r="S10" s="33" t="s">
        <v>166</v>
      </c>
      <c r="T10" s="31">
        <f t="shared" si="14"/>
        <v>1</v>
      </c>
      <c r="U10" s="55"/>
      <c r="V10" s="34">
        <f t="shared" si="15"/>
        <v>6899</v>
      </c>
      <c r="W10" s="33" t="s">
        <v>169</v>
      </c>
      <c r="X10" s="31">
        <f t="shared" si="16"/>
        <v>0</v>
      </c>
      <c r="Y10" s="52">
        <v>0.69</v>
      </c>
      <c r="Z10" s="46">
        <f t="shared" si="17"/>
        <v>0.69135802469135799</v>
      </c>
      <c r="AA10" s="31">
        <f t="shared" si="18"/>
        <v>1</v>
      </c>
      <c r="AB10" s="56" t="s">
        <v>22</v>
      </c>
      <c r="AC10" s="40">
        <f t="shared" si="19"/>
        <v>-6.0205999132796215</v>
      </c>
      <c r="AD10" s="33" t="s">
        <v>172</v>
      </c>
      <c r="AE10" s="31">
        <f t="shared" si="29"/>
        <v>1</v>
      </c>
      <c r="AF10" s="52" t="s">
        <v>23</v>
      </c>
      <c r="AG10" s="40">
        <f t="shared" si="20"/>
        <v>24.082399653118497</v>
      </c>
      <c r="AH10" s="33" t="s">
        <v>172</v>
      </c>
      <c r="AI10" s="31">
        <f t="shared" si="21"/>
        <v>1</v>
      </c>
      <c r="AJ10" s="52" t="s">
        <v>16</v>
      </c>
      <c r="AK10" s="31">
        <v>1</v>
      </c>
      <c r="AL10" s="52" t="s">
        <v>17</v>
      </c>
      <c r="AM10" s="31">
        <f t="shared" si="22"/>
        <v>1</v>
      </c>
      <c r="AN10" s="31">
        <f t="shared" si="23"/>
        <v>0</v>
      </c>
      <c r="AO10" s="31">
        <f t="shared" si="24"/>
        <v>1</v>
      </c>
      <c r="AP10" s="31">
        <f t="shared" si="25"/>
        <v>0</v>
      </c>
      <c r="AQ10" s="31">
        <f t="shared" si="26"/>
        <v>1</v>
      </c>
      <c r="AR10" s="31">
        <f t="shared" si="27"/>
        <v>0</v>
      </c>
      <c r="AS10" s="49">
        <f t="shared" si="28"/>
        <v>11</v>
      </c>
    </row>
    <row r="11" spans="1:45" ht="12.75" x14ac:dyDescent="0.2">
      <c r="A11" s="50">
        <v>10</v>
      </c>
      <c r="B11" s="51">
        <v>43819.745055092593</v>
      </c>
      <c r="C11" s="52" t="s">
        <v>58</v>
      </c>
      <c r="D11" s="52" t="s">
        <v>59</v>
      </c>
      <c r="E11" s="53">
        <v>266224</v>
      </c>
      <c r="F11" s="30">
        <f t="shared" si="8"/>
        <v>2</v>
      </c>
      <c r="G11" s="30">
        <f t="shared" si="9"/>
        <v>6</v>
      </c>
      <c r="H11" s="30">
        <f t="shared" si="10"/>
        <v>6</v>
      </c>
      <c r="I11" s="30">
        <f t="shared" si="3"/>
        <v>2</v>
      </c>
      <c r="J11" s="30">
        <f t="shared" si="4"/>
        <v>2</v>
      </c>
      <c r="K11" s="30">
        <f t="shared" si="5"/>
        <v>4</v>
      </c>
      <c r="L11" s="31">
        <v>2</v>
      </c>
      <c r="M11" s="56" t="s">
        <v>60</v>
      </c>
      <c r="N11" s="34">
        <f t="shared" ref="N11:N12" si="33">48-(50+K11*2-48)</f>
        <v>38</v>
      </c>
      <c r="O11" s="33" t="s">
        <v>159</v>
      </c>
      <c r="P11" s="31">
        <f t="shared" si="30"/>
        <v>1</v>
      </c>
      <c r="Q11" s="56" t="s">
        <v>61</v>
      </c>
      <c r="R11" s="34">
        <f t="shared" si="13"/>
        <v>1500</v>
      </c>
      <c r="S11" s="33" t="s">
        <v>166</v>
      </c>
      <c r="T11" s="31">
        <v>1</v>
      </c>
      <c r="U11" s="55"/>
      <c r="V11" s="34">
        <f t="shared" si="15"/>
        <v>6599</v>
      </c>
      <c r="W11" s="33" t="s">
        <v>169</v>
      </c>
      <c r="X11" s="31">
        <f t="shared" si="16"/>
        <v>0</v>
      </c>
      <c r="Y11" s="52">
        <v>0.75</v>
      </c>
      <c r="Z11" s="46">
        <f t="shared" si="17"/>
        <v>0.75</v>
      </c>
      <c r="AA11" s="31">
        <f t="shared" si="18"/>
        <v>1</v>
      </c>
      <c r="AB11" s="56" t="s">
        <v>62</v>
      </c>
      <c r="AC11" s="40">
        <f t="shared" si="19"/>
        <v>-3.8386500649513016</v>
      </c>
      <c r="AD11" s="33" t="s">
        <v>172</v>
      </c>
      <c r="AE11" s="31">
        <f t="shared" si="29"/>
        <v>1</v>
      </c>
      <c r="AF11" s="52" t="s">
        <v>63</v>
      </c>
      <c r="AG11" s="40">
        <f t="shared" si="20"/>
        <v>22.92256071356476</v>
      </c>
      <c r="AH11" s="33" t="s">
        <v>172</v>
      </c>
      <c r="AI11" s="31">
        <f t="shared" si="21"/>
        <v>1</v>
      </c>
      <c r="AJ11" s="52" t="s">
        <v>16</v>
      </c>
      <c r="AK11" s="31">
        <v>1</v>
      </c>
      <c r="AL11" s="52" t="s">
        <v>54</v>
      </c>
      <c r="AM11" s="31">
        <f t="shared" si="22"/>
        <v>1</v>
      </c>
      <c r="AN11" s="31">
        <f t="shared" si="23"/>
        <v>0</v>
      </c>
      <c r="AO11" s="31">
        <f t="shared" si="24"/>
        <v>1</v>
      </c>
      <c r="AP11" s="31">
        <f t="shared" si="25"/>
        <v>0</v>
      </c>
      <c r="AQ11" s="31">
        <f t="shared" si="26"/>
        <v>0</v>
      </c>
      <c r="AR11" s="31">
        <f t="shared" si="27"/>
        <v>0</v>
      </c>
      <c r="AS11" s="49">
        <f t="shared" si="28"/>
        <v>10</v>
      </c>
    </row>
    <row r="12" spans="1:45" ht="12.75" x14ac:dyDescent="0.2">
      <c r="A12" s="50">
        <v>11</v>
      </c>
      <c r="B12" s="51">
        <v>43819.745116956023</v>
      </c>
      <c r="C12" s="52" t="s">
        <v>64</v>
      </c>
      <c r="D12" s="52" t="s">
        <v>65</v>
      </c>
      <c r="E12" s="53">
        <v>293917</v>
      </c>
      <c r="F12" s="30">
        <f t="shared" si="8"/>
        <v>2</v>
      </c>
      <c r="G12" s="30">
        <f t="shared" si="9"/>
        <v>9</v>
      </c>
      <c r="H12" s="30">
        <f t="shared" si="10"/>
        <v>3</v>
      </c>
      <c r="I12" s="30">
        <f t="shared" si="3"/>
        <v>9</v>
      </c>
      <c r="J12" s="30">
        <f t="shared" si="4"/>
        <v>1</v>
      </c>
      <c r="K12" s="30">
        <f t="shared" si="5"/>
        <v>7</v>
      </c>
      <c r="L12" s="31">
        <v>2</v>
      </c>
      <c r="M12" s="56" t="s">
        <v>66</v>
      </c>
      <c r="N12" s="34">
        <f t="shared" si="33"/>
        <v>32</v>
      </c>
      <c r="O12" s="33" t="s">
        <v>159</v>
      </c>
      <c r="P12" s="31">
        <f t="shared" si="30"/>
        <v>1</v>
      </c>
      <c r="Q12" s="56" t="s">
        <v>67</v>
      </c>
      <c r="R12" s="34">
        <f t="shared" si="13"/>
        <v>3000</v>
      </c>
      <c r="S12" s="33" t="s">
        <v>166</v>
      </c>
      <c r="T12" s="31">
        <f t="shared" si="14"/>
        <v>-1</v>
      </c>
      <c r="U12" s="58" t="s">
        <v>68</v>
      </c>
      <c r="V12" s="34">
        <f t="shared" si="15"/>
        <v>6799</v>
      </c>
      <c r="W12" s="33" t="s">
        <v>169</v>
      </c>
      <c r="X12" s="31">
        <f t="shared" si="16"/>
        <v>-1</v>
      </c>
      <c r="Y12" s="52">
        <v>0.66479999999999995</v>
      </c>
      <c r="Z12" s="46">
        <f t="shared" si="17"/>
        <v>0.66481994459833793</v>
      </c>
      <c r="AA12" s="31">
        <f t="shared" si="18"/>
        <v>1</v>
      </c>
      <c r="AB12" s="59">
        <v>0.99</v>
      </c>
      <c r="AC12" s="40">
        <f t="shared" si="19"/>
        <v>-7.4810348119372048</v>
      </c>
      <c r="AD12" s="33" t="s">
        <v>172</v>
      </c>
      <c r="AE12" s="31">
        <f t="shared" si="29"/>
        <v>-1</v>
      </c>
      <c r="AF12" s="52" t="s">
        <v>39</v>
      </c>
      <c r="AG12" s="40">
        <f t="shared" si="20"/>
        <v>24.608978427565479</v>
      </c>
      <c r="AH12" s="33" t="s">
        <v>172</v>
      </c>
      <c r="AI12" s="31">
        <f t="shared" si="21"/>
        <v>1</v>
      </c>
      <c r="AJ12" s="52" t="s">
        <v>16</v>
      </c>
      <c r="AK12" s="31">
        <v>1</v>
      </c>
      <c r="AL12" s="52" t="s">
        <v>17</v>
      </c>
      <c r="AM12" s="31">
        <f t="shared" si="22"/>
        <v>1</v>
      </c>
      <c r="AN12" s="31">
        <f t="shared" si="23"/>
        <v>0</v>
      </c>
      <c r="AO12" s="31">
        <f t="shared" si="24"/>
        <v>1</v>
      </c>
      <c r="AP12" s="31">
        <f t="shared" si="25"/>
        <v>0</v>
      </c>
      <c r="AQ12" s="31">
        <f t="shared" si="26"/>
        <v>1</v>
      </c>
      <c r="AR12" s="31">
        <f t="shared" si="27"/>
        <v>0</v>
      </c>
      <c r="AS12" s="49">
        <f t="shared" si="28"/>
        <v>6</v>
      </c>
    </row>
    <row r="13" spans="1:45" ht="12.75" x14ac:dyDescent="0.2">
      <c r="A13" s="50">
        <v>12</v>
      </c>
      <c r="B13" s="51">
        <v>43819.745216516203</v>
      </c>
      <c r="C13" s="52" t="s">
        <v>69</v>
      </c>
      <c r="D13" s="52" t="s">
        <v>70</v>
      </c>
      <c r="E13" s="53">
        <v>313277</v>
      </c>
      <c r="F13" s="30">
        <f t="shared" si="8"/>
        <v>3</v>
      </c>
      <c r="G13" s="30">
        <f t="shared" si="9"/>
        <v>1</v>
      </c>
      <c r="H13" s="30">
        <f t="shared" si="10"/>
        <v>3</v>
      </c>
      <c r="I13" s="30">
        <f t="shared" si="3"/>
        <v>2</v>
      </c>
      <c r="J13" s="30">
        <f t="shared" si="4"/>
        <v>7</v>
      </c>
      <c r="K13" s="30">
        <f t="shared" si="5"/>
        <v>7</v>
      </c>
      <c r="L13" s="31">
        <v>2</v>
      </c>
      <c r="M13" s="56" t="s">
        <v>36</v>
      </c>
      <c r="N13" s="34">
        <f t="shared" ref="N13:N14" si="34">(48-(50+K13*2-48))*1000</f>
        <v>32000</v>
      </c>
      <c r="O13" s="33" t="s">
        <v>166</v>
      </c>
      <c r="P13" s="31">
        <f t="shared" ref="P13:P14" si="35">IF(M13="",0,IF(EXACT(RIGHT(M13,2),"Hz"),IF(ABS(VALUE(LEFT(M13,FIND(" ",M13,1)))-N13)&lt;=0.5,1,-1),-1))</f>
        <v>1</v>
      </c>
      <c r="Q13" s="56" t="s">
        <v>71</v>
      </c>
      <c r="R13" s="40">
        <f t="shared" si="13"/>
        <v>46.875</v>
      </c>
      <c r="S13" s="33" t="s">
        <v>166</v>
      </c>
      <c r="T13" s="31">
        <f t="shared" si="14"/>
        <v>1</v>
      </c>
      <c r="U13" s="56">
        <v>7399</v>
      </c>
      <c r="V13" s="34">
        <f t="shared" si="15"/>
        <v>7399</v>
      </c>
      <c r="W13" s="33" t="s">
        <v>169</v>
      </c>
      <c r="X13" s="31">
        <v>1</v>
      </c>
      <c r="Y13" s="52">
        <v>0.66</v>
      </c>
      <c r="Z13" s="46">
        <f t="shared" si="17"/>
        <v>0.66481994459833793</v>
      </c>
      <c r="AA13" s="31">
        <f t="shared" si="18"/>
        <v>1</v>
      </c>
      <c r="AB13" s="56" t="s">
        <v>38</v>
      </c>
      <c r="AC13" s="40">
        <f t="shared" si="19"/>
        <v>-7.4810348119372048</v>
      </c>
      <c r="AD13" s="33" t="s">
        <v>172</v>
      </c>
      <c r="AE13" s="31">
        <f t="shared" si="29"/>
        <v>1</v>
      </c>
      <c r="AF13" s="52" t="s">
        <v>43</v>
      </c>
      <c r="AG13" s="40">
        <f t="shared" si="20"/>
        <v>24.608978427565479</v>
      </c>
      <c r="AH13" s="33" t="s">
        <v>172</v>
      </c>
      <c r="AI13" s="31">
        <f t="shared" si="21"/>
        <v>1</v>
      </c>
      <c r="AJ13" s="52" t="s">
        <v>16</v>
      </c>
      <c r="AK13" s="31">
        <v>1</v>
      </c>
      <c r="AL13" s="52" t="s">
        <v>17</v>
      </c>
      <c r="AM13" s="31">
        <f t="shared" si="22"/>
        <v>1</v>
      </c>
      <c r="AN13" s="31">
        <f t="shared" si="23"/>
        <v>0</v>
      </c>
      <c r="AO13" s="31">
        <f t="shared" si="24"/>
        <v>1</v>
      </c>
      <c r="AP13" s="31">
        <f t="shared" si="25"/>
        <v>0</v>
      </c>
      <c r="AQ13" s="31">
        <f t="shared" si="26"/>
        <v>1</v>
      </c>
      <c r="AR13" s="31">
        <f t="shared" si="27"/>
        <v>0</v>
      </c>
      <c r="AS13" s="49">
        <f t="shared" si="28"/>
        <v>12</v>
      </c>
    </row>
    <row r="14" spans="1:45" ht="12.75" x14ac:dyDescent="0.2">
      <c r="A14" s="50">
        <v>13</v>
      </c>
      <c r="B14" s="51">
        <v>43819.745277314811</v>
      </c>
      <c r="C14" s="52" t="s">
        <v>72</v>
      </c>
      <c r="D14" s="52" t="s">
        <v>73</v>
      </c>
      <c r="E14" s="53">
        <v>313890</v>
      </c>
      <c r="F14" s="30">
        <f t="shared" si="8"/>
        <v>3</v>
      </c>
      <c r="G14" s="30">
        <f t="shared" si="9"/>
        <v>1</v>
      </c>
      <c r="H14" s="30">
        <f t="shared" si="10"/>
        <v>3</v>
      </c>
      <c r="I14" s="30">
        <f t="shared" si="3"/>
        <v>8</v>
      </c>
      <c r="J14" s="30">
        <f t="shared" si="4"/>
        <v>9</v>
      </c>
      <c r="K14" s="30">
        <f t="shared" si="5"/>
        <v>0</v>
      </c>
      <c r="L14" s="31">
        <v>2</v>
      </c>
      <c r="M14" s="56" t="s">
        <v>74</v>
      </c>
      <c r="N14" s="34">
        <f t="shared" si="34"/>
        <v>46000</v>
      </c>
      <c r="O14" s="33" t="s">
        <v>166</v>
      </c>
      <c r="P14" s="31">
        <f t="shared" si="35"/>
        <v>1</v>
      </c>
      <c r="Q14" s="56" t="s">
        <v>75</v>
      </c>
      <c r="R14" s="40">
        <f t="shared" si="13"/>
        <v>11.71875</v>
      </c>
      <c r="S14" s="33" t="s">
        <v>166</v>
      </c>
      <c r="T14" s="31">
        <f t="shared" si="14"/>
        <v>1</v>
      </c>
      <c r="U14" s="55"/>
      <c r="V14" s="34">
        <f t="shared" si="15"/>
        <v>6899</v>
      </c>
      <c r="W14" s="33" t="s">
        <v>169</v>
      </c>
      <c r="X14" s="31">
        <f t="shared" si="16"/>
        <v>0</v>
      </c>
      <c r="Y14" s="52">
        <v>0.89</v>
      </c>
      <c r="Z14" s="46">
        <f t="shared" si="17"/>
        <v>0.88888888888888884</v>
      </c>
      <c r="AA14" s="31">
        <f t="shared" si="18"/>
        <v>1</v>
      </c>
      <c r="AB14" s="56" t="s">
        <v>76</v>
      </c>
      <c r="AC14" s="40">
        <f t="shared" si="19"/>
        <v>-1.2493873660829988</v>
      </c>
      <c r="AD14" s="33" t="s">
        <v>172</v>
      </c>
      <c r="AE14" s="31">
        <f t="shared" si="29"/>
        <v>1</v>
      </c>
      <c r="AF14" s="52" t="s">
        <v>77</v>
      </c>
      <c r="AG14" s="40">
        <f t="shared" si="20"/>
        <v>20</v>
      </c>
      <c r="AH14" s="33" t="s">
        <v>172</v>
      </c>
      <c r="AI14" s="31">
        <f t="shared" si="21"/>
        <v>1</v>
      </c>
      <c r="AJ14" s="52" t="s">
        <v>16</v>
      </c>
      <c r="AK14" s="31">
        <v>1</v>
      </c>
      <c r="AL14" s="52" t="s">
        <v>17</v>
      </c>
      <c r="AM14" s="31">
        <f t="shared" si="22"/>
        <v>1</v>
      </c>
      <c r="AN14" s="31">
        <f t="shared" si="23"/>
        <v>0</v>
      </c>
      <c r="AO14" s="31">
        <f t="shared" si="24"/>
        <v>1</v>
      </c>
      <c r="AP14" s="31">
        <f t="shared" si="25"/>
        <v>0</v>
      </c>
      <c r="AQ14" s="31">
        <f t="shared" si="26"/>
        <v>1</v>
      </c>
      <c r="AR14" s="31">
        <f t="shared" si="27"/>
        <v>0</v>
      </c>
      <c r="AS14" s="49">
        <f t="shared" si="28"/>
        <v>11</v>
      </c>
    </row>
    <row r="15" spans="1:45" ht="12.75" x14ac:dyDescent="0.2">
      <c r="A15" s="50">
        <v>14</v>
      </c>
      <c r="B15" s="51">
        <v>43819.745336273147</v>
      </c>
      <c r="C15" s="52" t="s">
        <v>78</v>
      </c>
      <c r="D15" s="52" t="s">
        <v>79</v>
      </c>
      <c r="E15" s="53">
        <v>304065</v>
      </c>
      <c r="F15" s="30">
        <f t="shared" si="8"/>
        <v>3</v>
      </c>
      <c r="G15" s="30">
        <f t="shared" si="9"/>
        <v>0</v>
      </c>
      <c r="H15" s="30">
        <f t="shared" si="10"/>
        <v>4</v>
      </c>
      <c r="I15" s="30">
        <f t="shared" si="3"/>
        <v>0</v>
      </c>
      <c r="J15" s="30">
        <f t="shared" si="4"/>
        <v>6</v>
      </c>
      <c r="K15" s="30">
        <f t="shared" si="5"/>
        <v>5</v>
      </c>
      <c r="L15" s="31">
        <v>2</v>
      </c>
      <c r="M15" s="60" t="s">
        <v>80</v>
      </c>
      <c r="N15" s="34">
        <f t="shared" ref="N15:N16" si="36">48-(50+K15*2-48)</f>
        <v>36</v>
      </c>
      <c r="O15" s="33" t="s">
        <v>159</v>
      </c>
      <c r="P15" s="31">
        <v>0</v>
      </c>
      <c r="Q15" s="59">
        <v>9.3700000000000006E-2</v>
      </c>
      <c r="R15" s="40">
        <f t="shared" si="13"/>
        <v>93.75</v>
      </c>
      <c r="S15" s="33" t="s">
        <v>166</v>
      </c>
      <c r="T15" s="31">
        <f t="shared" si="14"/>
        <v>-1</v>
      </c>
      <c r="U15" s="55"/>
      <c r="V15" s="34">
        <f t="shared" si="15"/>
        <v>7099</v>
      </c>
      <c r="W15" s="33" t="s">
        <v>169</v>
      </c>
      <c r="X15" s="31">
        <f t="shared" si="16"/>
        <v>0</v>
      </c>
      <c r="Y15" s="52">
        <v>0.71899999999999997</v>
      </c>
      <c r="Z15" s="46">
        <f t="shared" si="17"/>
        <v>0.71972318339100338</v>
      </c>
      <c r="AA15" s="31">
        <f t="shared" si="18"/>
        <v>1</v>
      </c>
      <c r="AB15" s="59">
        <v>0.99</v>
      </c>
      <c r="AC15" s="40">
        <f t="shared" si="19"/>
        <v>-4.8281739729180524</v>
      </c>
      <c r="AD15" s="33" t="s">
        <v>172</v>
      </c>
      <c r="AE15" s="31">
        <f t="shared" si="29"/>
        <v>-1</v>
      </c>
      <c r="AF15" s="52" t="s">
        <v>81</v>
      </c>
      <c r="AG15" s="40">
        <f t="shared" si="20"/>
        <v>23.521825181113627</v>
      </c>
      <c r="AH15" s="33" t="s">
        <v>172</v>
      </c>
      <c r="AI15" s="31">
        <f t="shared" si="21"/>
        <v>1</v>
      </c>
      <c r="AJ15" s="52" t="s">
        <v>16</v>
      </c>
      <c r="AK15" s="31">
        <v>1</v>
      </c>
      <c r="AL15" s="52" t="s">
        <v>82</v>
      </c>
      <c r="AM15" s="31">
        <f t="shared" si="22"/>
        <v>1</v>
      </c>
      <c r="AN15" s="31">
        <f t="shared" si="23"/>
        <v>0</v>
      </c>
      <c r="AO15" s="31">
        <f t="shared" si="24"/>
        <v>1</v>
      </c>
      <c r="AP15" s="31">
        <f t="shared" si="25"/>
        <v>-1</v>
      </c>
      <c r="AQ15" s="31">
        <f t="shared" si="26"/>
        <v>0</v>
      </c>
      <c r="AR15" s="31">
        <f t="shared" si="27"/>
        <v>0</v>
      </c>
      <c r="AS15" s="49">
        <f t="shared" si="28"/>
        <v>4</v>
      </c>
    </row>
    <row r="16" spans="1:45" ht="12.75" x14ac:dyDescent="0.2">
      <c r="A16" s="50">
        <v>15</v>
      </c>
      <c r="B16" s="51">
        <v>43819.746078530094</v>
      </c>
      <c r="C16" s="52" t="s">
        <v>83</v>
      </c>
      <c r="D16" s="52" t="s">
        <v>84</v>
      </c>
      <c r="E16" s="53">
        <v>265302</v>
      </c>
      <c r="F16" s="30">
        <f t="shared" si="8"/>
        <v>2</v>
      </c>
      <c r="G16" s="30">
        <f t="shared" si="9"/>
        <v>6</v>
      </c>
      <c r="H16" s="30">
        <f t="shared" si="10"/>
        <v>5</v>
      </c>
      <c r="I16" s="30">
        <f t="shared" si="3"/>
        <v>3</v>
      </c>
      <c r="J16" s="30">
        <f t="shared" si="4"/>
        <v>0</v>
      </c>
      <c r="K16" s="30">
        <f t="shared" si="5"/>
        <v>2</v>
      </c>
      <c r="L16" s="31">
        <v>2</v>
      </c>
      <c r="M16" s="56" t="s">
        <v>85</v>
      </c>
      <c r="N16" s="34">
        <f t="shared" si="36"/>
        <v>42</v>
      </c>
      <c r="O16" s="33" t="s">
        <v>159</v>
      </c>
      <c r="P16" s="31">
        <f t="shared" si="30"/>
        <v>1</v>
      </c>
      <c r="Q16" s="61" t="s">
        <v>86</v>
      </c>
      <c r="R16" s="34">
        <f t="shared" si="13"/>
        <v>6000</v>
      </c>
      <c r="S16" s="33" t="s">
        <v>166</v>
      </c>
      <c r="T16" s="31">
        <v>1</v>
      </c>
      <c r="U16" s="55"/>
      <c r="V16" s="34">
        <f t="shared" si="15"/>
        <v>6199</v>
      </c>
      <c r="W16" s="33" t="s">
        <v>169</v>
      </c>
      <c r="X16" s="31">
        <f t="shared" si="16"/>
        <v>0</v>
      </c>
      <c r="Y16" s="52">
        <v>0.82</v>
      </c>
      <c r="Z16" s="46">
        <f t="shared" si="17"/>
        <v>0.81632653061224492</v>
      </c>
      <c r="AA16" s="31">
        <f t="shared" si="18"/>
        <v>1</v>
      </c>
      <c r="AB16" s="56" t="s">
        <v>87</v>
      </c>
      <c r="AC16" s="40">
        <f t="shared" si="19"/>
        <v>-2.3149206689296116</v>
      </c>
      <c r="AD16" s="33" t="s">
        <v>172</v>
      </c>
      <c r="AE16" s="31">
        <f t="shared" si="29"/>
        <v>1</v>
      </c>
      <c r="AF16" s="52" t="s">
        <v>88</v>
      </c>
      <c r="AG16" s="40">
        <f t="shared" si="20"/>
        <v>21.583624920952499</v>
      </c>
      <c r="AH16" s="33" t="s">
        <v>172</v>
      </c>
      <c r="AI16" s="31">
        <f t="shared" si="21"/>
        <v>1</v>
      </c>
      <c r="AJ16" s="52" t="s">
        <v>16</v>
      </c>
      <c r="AK16" s="31">
        <v>1</v>
      </c>
      <c r="AL16" s="52" t="s">
        <v>54</v>
      </c>
      <c r="AM16" s="31">
        <f t="shared" si="22"/>
        <v>1</v>
      </c>
      <c r="AN16" s="31">
        <f t="shared" si="23"/>
        <v>0</v>
      </c>
      <c r="AO16" s="31">
        <f t="shared" si="24"/>
        <v>1</v>
      </c>
      <c r="AP16" s="31">
        <f t="shared" si="25"/>
        <v>0</v>
      </c>
      <c r="AQ16" s="31">
        <f t="shared" si="26"/>
        <v>0</v>
      </c>
      <c r="AR16" s="31">
        <f t="shared" si="27"/>
        <v>0</v>
      </c>
      <c r="AS16" s="49">
        <f t="shared" si="28"/>
        <v>10</v>
      </c>
    </row>
    <row r="17" spans="1:45" ht="12.75" x14ac:dyDescent="0.2">
      <c r="A17" s="50">
        <v>16</v>
      </c>
      <c r="B17" s="51">
        <v>43819.74613112268</v>
      </c>
      <c r="C17" s="52" t="s">
        <v>89</v>
      </c>
      <c r="D17" s="52" t="s">
        <v>90</v>
      </c>
      <c r="E17" s="53">
        <v>283103</v>
      </c>
      <c r="F17" s="30">
        <f t="shared" si="8"/>
        <v>2</v>
      </c>
      <c r="G17" s="30">
        <f t="shared" si="9"/>
        <v>8</v>
      </c>
      <c r="H17" s="30">
        <f t="shared" si="10"/>
        <v>3</v>
      </c>
      <c r="I17" s="30">
        <f t="shared" si="3"/>
        <v>1</v>
      </c>
      <c r="J17" s="30">
        <f t="shared" si="4"/>
        <v>0</v>
      </c>
      <c r="K17" s="30">
        <f t="shared" si="5"/>
        <v>3</v>
      </c>
      <c r="L17" s="31">
        <v>2</v>
      </c>
      <c r="M17" s="56" t="s">
        <v>91</v>
      </c>
      <c r="N17" s="34">
        <f>(48-(50+K17*2-48))*1000</f>
        <v>40000</v>
      </c>
      <c r="O17" s="33" t="s">
        <v>166</v>
      </c>
      <c r="P17" s="31">
        <f>IF(M17="",0,IF(EXACT(RIGHT(M17,2),"Hz"),IF(ABS(VALUE(LEFT(M17,FIND(" ",M17,1)))-N17)&lt;=0.5,1,-1),-1))</f>
        <v>1</v>
      </c>
      <c r="Q17" s="56" t="s">
        <v>92</v>
      </c>
      <c r="R17" s="34">
        <f t="shared" si="13"/>
        <v>6000</v>
      </c>
      <c r="S17" s="33" t="s">
        <v>166</v>
      </c>
      <c r="T17" s="31">
        <f t="shared" si="14"/>
        <v>1</v>
      </c>
      <c r="U17" s="58">
        <v>6300</v>
      </c>
      <c r="V17" s="34">
        <f t="shared" si="15"/>
        <v>6299</v>
      </c>
      <c r="W17" s="33" t="s">
        <v>169</v>
      </c>
      <c r="X17" s="31">
        <v>0</v>
      </c>
      <c r="Y17" s="52">
        <v>0.78</v>
      </c>
      <c r="Z17" s="46">
        <f t="shared" si="17"/>
        <v>0.78222222222222215</v>
      </c>
      <c r="AA17" s="31">
        <f t="shared" si="18"/>
        <v>1</v>
      </c>
      <c r="AB17" s="55"/>
      <c r="AC17" s="40">
        <f t="shared" si="19"/>
        <v>-3.0102999566398116</v>
      </c>
      <c r="AD17" s="33" t="s">
        <v>172</v>
      </c>
      <c r="AE17" s="31">
        <f t="shared" si="29"/>
        <v>0</v>
      </c>
      <c r="AF17" s="52" t="s">
        <v>93</v>
      </c>
      <c r="AG17" s="40">
        <f t="shared" si="20"/>
        <v>22.278867046136735</v>
      </c>
      <c r="AH17" s="33" t="s">
        <v>172</v>
      </c>
      <c r="AI17" s="31">
        <f t="shared" si="21"/>
        <v>1</v>
      </c>
      <c r="AJ17" s="52" t="s">
        <v>16</v>
      </c>
      <c r="AK17" s="31">
        <v>1</v>
      </c>
      <c r="AL17" s="52" t="s">
        <v>17</v>
      </c>
      <c r="AM17" s="31">
        <f t="shared" si="22"/>
        <v>1</v>
      </c>
      <c r="AN17" s="31">
        <f t="shared" si="23"/>
        <v>0</v>
      </c>
      <c r="AO17" s="31">
        <f t="shared" si="24"/>
        <v>1</v>
      </c>
      <c r="AP17" s="31">
        <f t="shared" si="25"/>
        <v>0</v>
      </c>
      <c r="AQ17" s="31">
        <f t="shared" si="26"/>
        <v>1</v>
      </c>
      <c r="AR17" s="31">
        <f t="shared" si="27"/>
        <v>0</v>
      </c>
      <c r="AS17" s="49">
        <f t="shared" si="28"/>
        <v>10</v>
      </c>
    </row>
    <row r="18" spans="1:45" ht="12.75" x14ac:dyDescent="0.2">
      <c r="A18" s="50">
        <v>17</v>
      </c>
      <c r="B18" s="51">
        <v>43819.746214606479</v>
      </c>
      <c r="C18" s="52" t="s">
        <v>94</v>
      </c>
      <c r="D18" s="52" t="s">
        <v>95</v>
      </c>
      <c r="E18" s="53">
        <v>313713</v>
      </c>
      <c r="F18" s="30">
        <f t="shared" si="8"/>
        <v>3</v>
      </c>
      <c r="G18" s="30">
        <f t="shared" si="9"/>
        <v>1</v>
      </c>
      <c r="H18" s="30">
        <f t="shared" si="10"/>
        <v>3</v>
      </c>
      <c r="I18" s="30">
        <f t="shared" si="3"/>
        <v>7</v>
      </c>
      <c r="J18" s="30">
        <f t="shared" si="4"/>
        <v>1</v>
      </c>
      <c r="K18" s="30">
        <f t="shared" si="5"/>
        <v>3</v>
      </c>
      <c r="L18" s="31">
        <v>2</v>
      </c>
      <c r="M18" s="56" t="s">
        <v>12</v>
      </c>
      <c r="N18" s="34">
        <f t="shared" ref="N18:N22" si="37">48-(50+K18*2-48)</f>
        <v>40</v>
      </c>
      <c r="O18" s="33" t="s">
        <v>159</v>
      </c>
      <c r="P18" s="31">
        <f t="shared" si="30"/>
        <v>1</v>
      </c>
      <c r="Q18" s="56" t="s">
        <v>96</v>
      </c>
      <c r="R18" s="34">
        <f t="shared" si="13"/>
        <v>3000</v>
      </c>
      <c r="S18" s="33" t="s">
        <v>166</v>
      </c>
      <c r="T18" s="31">
        <v>1</v>
      </c>
      <c r="U18" s="58">
        <v>6400</v>
      </c>
      <c r="V18" s="34">
        <f t="shared" si="15"/>
        <v>6399</v>
      </c>
      <c r="W18" s="33" t="s">
        <v>169</v>
      </c>
      <c r="X18" s="31">
        <v>0</v>
      </c>
      <c r="Y18" s="52">
        <v>0.78200000000000003</v>
      </c>
      <c r="Z18" s="46">
        <f t="shared" si="17"/>
        <v>0.78222222222222215</v>
      </c>
      <c r="AA18" s="31">
        <f t="shared" si="18"/>
        <v>1</v>
      </c>
      <c r="AB18" s="59">
        <v>0.99</v>
      </c>
      <c r="AC18" s="40">
        <f t="shared" si="19"/>
        <v>-3.0102999566398116</v>
      </c>
      <c r="AD18" s="33" t="s">
        <v>172</v>
      </c>
      <c r="AE18" s="31">
        <f t="shared" si="29"/>
        <v>-1</v>
      </c>
      <c r="AF18" s="52" t="s">
        <v>97</v>
      </c>
      <c r="AG18" s="40">
        <f t="shared" si="20"/>
        <v>22.278867046136735</v>
      </c>
      <c r="AH18" s="33" t="s">
        <v>172</v>
      </c>
      <c r="AI18" s="31">
        <f t="shared" si="21"/>
        <v>1</v>
      </c>
      <c r="AJ18" s="52" t="s">
        <v>16</v>
      </c>
      <c r="AK18" s="31">
        <v>1</v>
      </c>
      <c r="AL18" s="52" t="s">
        <v>98</v>
      </c>
      <c r="AM18" s="31">
        <f t="shared" si="22"/>
        <v>1</v>
      </c>
      <c r="AN18" s="31">
        <f t="shared" si="23"/>
        <v>-1</v>
      </c>
      <c r="AO18" s="31">
        <f t="shared" si="24"/>
        <v>0</v>
      </c>
      <c r="AP18" s="31">
        <f t="shared" si="25"/>
        <v>-1</v>
      </c>
      <c r="AQ18" s="31">
        <f t="shared" si="26"/>
        <v>0</v>
      </c>
      <c r="AR18" s="31">
        <f t="shared" si="27"/>
        <v>0</v>
      </c>
      <c r="AS18" s="49">
        <f t="shared" si="28"/>
        <v>5</v>
      </c>
    </row>
    <row r="19" spans="1:45" ht="12.75" x14ac:dyDescent="0.2">
      <c r="A19" s="50">
        <v>18</v>
      </c>
      <c r="B19" s="51">
        <v>43819.746250127311</v>
      </c>
      <c r="C19" s="52" t="s">
        <v>99</v>
      </c>
      <c r="D19" s="52" t="s">
        <v>100</v>
      </c>
      <c r="E19" s="53">
        <v>309623</v>
      </c>
      <c r="F19" s="30">
        <f t="shared" si="8"/>
        <v>3</v>
      </c>
      <c r="G19" s="30">
        <f t="shared" si="9"/>
        <v>0</v>
      </c>
      <c r="H19" s="30">
        <f t="shared" si="10"/>
        <v>9</v>
      </c>
      <c r="I19" s="30">
        <f t="shared" si="3"/>
        <v>6</v>
      </c>
      <c r="J19" s="30">
        <f t="shared" si="4"/>
        <v>2</v>
      </c>
      <c r="K19" s="30">
        <f t="shared" si="5"/>
        <v>3</v>
      </c>
      <c r="L19" s="31">
        <v>2</v>
      </c>
      <c r="M19" s="56" t="s">
        <v>12</v>
      </c>
      <c r="N19" s="34">
        <f t="shared" si="37"/>
        <v>40</v>
      </c>
      <c r="O19" s="33" t="s">
        <v>159</v>
      </c>
      <c r="P19" s="31">
        <f t="shared" si="30"/>
        <v>1</v>
      </c>
      <c r="Q19" s="56" t="s">
        <v>101</v>
      </c>
      <c r="R19" s="34">
        <f t="shared" si="13"/>
        <v>1500</v>
      </c>
      <c r="S19" s="33" t="s">
        <v>166</v>
      </c>
      <c r="T19" s="31">
        <f t="shared" si="14"/>
        <v>1</v>
      </c>
      <c r="U19" s="55"/>
      <c r="V19" s="34">
        <f t="shared" si="15"/>
        <v>6499</v>
      </c>
      <c r="W19" s="33" t="s">
        <v>169</v>
      </c>
      <c r="X19" s="31">
        <f t="shared" si="16"/>
        <v>0</v>
      </c>
      <c r="Y19" s="52">
        <v>0.78200000000000003</v>
      </c>
      <c r="Z19" s="46">
        <f t="shared" si="17"/>
        <v>0.78222222222222215</v>
      </c>
      <c r="AA19" s="31">
        <f t="shared" si="18"/>
        <v>1</v>
      </c>
      <c r="AB19" s="55"/>
      <c r="AC19" s="40">
        <f t="shared" si="19"/>
        <v>-3.0102999566398116</v>
      </c>
      <c r="AD19" s="33" t="s">
        <v>172</v>
      </c>
      <c r="AE19" s="31">
        <f t="shared" si="29"/>
        <v>0</v>
      </c>
      <c r="AF19" s="54"/>
      <c r="AG19" s="40">
        <f t="shared" si="20"/>
        <v>22.278867046136735</v>
      </c>
      <c r="AH19" s="33" t="s">
        <v>172</v>
      </c>
      <c r="AI19" s="31">
        <f t="shared" si="21"/>
        <v>0</v>
      </c>
      <c r="AJ19" s="52" t="s">
        <v>16</v>
      </c>
      <c r="AK19" s="31">
        <v>1</v>
      </c>
      <c r="AL19" s="52" t="s">
        <v>17</v>
      </c>
      <c r="AM19" s="31">
        <f t="shared" si="22"/>
        <v>1</v>
      </c>
      <c r="AN19" s="31">
        <f t="shared" si="23"/>
        <v>0</v>
      </c>
      <c r="AO19" s="31">
        <f t="shared" si="24"/>
        <v>1</v>
      </c>
      <c r="AP19" s="31">
        <f t="shared" si="25"/>
        <v>0</v>
      </c>
      <c r="AQ19" s="31">
        <f t="shared" si="26"/>
        <v>1</v>
      </c>
      <c r="AR19" s="31">
        <f t="shared" si="27"/>
        <v>0</v>
      </c>
      <c r="AS19" s="49">
        <f t="shared" si="28"/>
        <v>9</v>
      </c>
    </row>
    <row r="20" spans="1:45" ht="12.75" x14ac:dyDescent="0.2">
      <c r="A20" s="50">
        <v>19</v>
      </c>
      <c r="B20" s="51">
        <v>43819.746364224542</v>
      </c>
      <c r="C20" s="52" t="s">
        <v>102</v>
      </c>
      <c r="D20" s="52" t="s">
        <v>103</v>
      </c>
      <c r="E20" s="53">
        <v>309625</v>
      </c>
      <c r="F20" s="30">
        <f t="shared" si="8"/>
        <v>3</v>
      </c>
      <c r="G20" s="30">
        <f t="shared" si="9"/>
        <v>0</v>
      </c>
      <c r="H20" s="30">
        <f t="shared" si="10"/>
        <v>9</v>
      </c>
      <c r="I20" s="30">
        <f t="shared" si="3"/>
        <v>6</v>
      </c>
      <c r="J20" s="30">
        <f t="shared" si="4"/>
        <v>2</v>
      </c>
      <c r="K20" s="30">
        <f t="shared" si="5"/>
        <v>5</v>
      </c>
      <c r="L20" s="31">
        <v>2</v>
      </c>
      <c r="M20" s="60" t="s">
        <v>80</v>
      </c>
      <c r="N20" s="34">
        <f t="shared" si="37"/>
        <v>36</v>
      </c>
      <c r="O20" s="33" t="s">
        <v>159</v>
      </c>
      <c r="P20" s="31">
        <v>0</v>
      </c>
      <c r="Q20" s="60" t="s">
        <v>104</v>
      </c>
      <c r="R20" s="34">
        <f t="shared" si="13"/>
        <v>1500</v>
      </c>
      <c r="S20" s="33" t="s">
        <v>166</v>
      </c>
      <c r="T20" s="31">
        <v>0</v>
      </c>
      <c r="U20" s="55"/>
      <c r="V20" s="34">
        <f t="shared" si="15"/>
        <v>6699</v>
      </c>
      <c r="W20" s="33" t="s">
        <v>169</v>
      </c>
      <c r="X20" s="31">
        <f t="shared" si="16"/>
        <v>0</v>
      </c>
      <c r="Y20" s="52">
        <v>0.71970000000000001</v>
      </c>
      <c r="Z20" s="46">
        <f t="shared" si="17"/>
        <v>0.71972318339100338</v>
      </c>
      <c r="AA20" s="31">
        <f t="shared" si="18"/>
        <v>1</v>
      </c>
      <c r="AB20" s="55"/>
      <c r="AC20" s="40">
        <f t="shared" si="19"/>
        <v>-4.8281739729180524</v>
      </c>
      <c r="AD20" s="33" t="s">
        <v>172</v>
      </c>
      <c r="AE20" s="31">
        <f t="shared" si="29"/>
        <v>0</v>
      </c>
      <c r="AF20" s="54"/>
      <c r="AG20" s="40">
        <f t="shared" si="20"/>
        <v>23.521825181113627</v>
      </c>
      <c r="AH20" s="33" t="s">
        <v>172</v>
      </c>
      <c r="AI20" s="31">
        <f t="shared" si="21"/>
        <v>0</v>
      </c>
      <c r="AJ20" s="52" t="s">
        <v>16</v>
      </c>
      <c r="AK20" s="31">
        <v>1</v>
      </c>
      <c r="AL20" s="52" t="s">
        <v>17</v>
      </c>
      <c r="AM20" s="31">
        <f t="shared" si="22"/>
        <v>1</v>
      </c>
      <c r="AN20" s="31">
        <f t="shared" si="23"/>
        <v>0</v>
      </c>
      <c r="AO20" s="31">
        <f t="shared" si="24"/>
        <v>1</v>
      </c>
      <c r="AP20" s="31">
        <f t="shared" si="25"/>
        <v>0</v>
      </c>
      <c r="AQ20" s="31">
        <f t="shared" si="26"/>
        <v>1</v>
      </c>
      <c r="AR20" s="31">
        <f t="shared" si="27"/>
        <v>0</v>
      </c>
      <c r="AS20" s="49">
        <f t="shared" si="28"/>
        <v>7</v>
      </c>
    </row>
    <row r="21" spans="1:45" ht="12.75" x14ac:dyDescent="0.2">
      <c r="A21" s="50">
        <v>20</v>
      </c>
      <c r="B21" s="51">
        <v>43819.746553159726</v>
      </c>
      <c r="C21" s="52" t="s">
        <v>105</v>
      </c>
      <c r="D21" s="52" t="s">
        <v>106</v>
      </c>
      <c r="E21" s="53">
        <v>286350</v>
      </c>
      <c r="F21" s="30">
        <f t="shared" si="8"/>
        <v>2</v>
      </c>
      <c r="G21" s="30">
        <f t="shared" si="9"/>
        <v>8</v>
      </c>
      <c r="H21" s="30">
        <f t="shared" si="10"/>
        <v>6</v>
      </c>
      <c r="I21" s="30">
        <f t="shared" si="3"/>
        <v>3</v>
      </c>
      <c r="J21" s="30">
        <f t="shared" si="4"/>
        <v>5</v>
      </c>
      <c r="K21" s="30">
        <f t="shared" si="5"/>
        <v>0</v>
      </c>
      <c r="L21" s="31">
        <v>2</v>
      </c>
      <c r="M21" s="55"/>
      <c r="N21" s="34">
        <f t="shared" si="37"/>
        <v>46</v>
      </c>
      <c r="O21" s="33" t="s">
        <v>159</v>
      </c>
      <c r="P21" s="31">
        <f t="shared" si="30"/>
        <v>0</v>
      </c>
      <c r="Q21" s="56" t="s">
        <v>107</v>
      </c>
      <c r="R21" s="40">
        <f t="shared" si="13"/>
        <v>187.5</v>
      </c>
      <c r="S21" s="33" t="s">
        <v>166</v>
      </c>
      <c r="T21" s="31">
        <f t="shared" si="14"/>
        <v>1</v>
      </c>
      <c r="U21" s="58">
        <v>6500</v>
      </c>
      <c r="V21" s="34">
        <f t="shared" si="15"/>
        <v>6499</v>
      </c>
      <c r="W21" s="33" t="s">
        <v>169</v>
      </c>
      <c r="X21" s="31">
        <v>0</v>
      </c>
      <c r="Y21" s="52">
        <v>0.89</v>
      </c>
      <c r="Z21" s="46">
        <f t="shared" si="17"/>
        <v>0.88888888888888884</v>
      </c>
      <c r="AA21" s="31">
        <f t="shared" si="18"/>
        <v>1</v>
      </c>
      <c r="AB21" s="55"/>
      <c r="AC21" s="40">
        <f t="shared" si="19"/>
        <v>-1.2493873660829988</v>
      </c>
      <c r="AD21" s="33" t="s">
        <v>172</v>
      </c>
      <c r="AE21" s="31">
        <f t="shared" si="29"/>
        <v>0</v>
      </c>
      <c r="AF21" s="52" t="s">
        <v>77</v>
      </c>
      <c r="AG21" s="40">
        <f t="shared" si="20"/>
        <v>20</v>
      </c>
      <c r="AH21" s="33" t="s">
        <v>172</v>
      </c>
      <c r="AI21" s="31">
        <f t="shared" si="21"/>
        <v>1</v>
      </c>
      <c r="AJ21" s="52" t="s">
        <v>16</v>
      </c>
      <c r="AK21" s="31">
        <v>1</v>
      </c>
      <c r="AL21" s="52" t="s">
        <v>98</v>
      </c>
      <c r="AM21" s="31">
        <f t="shared" si="22"/>
        <v>1</v>
      </c>
      <c r="AN21" s="31">
        <f t="shared" si="23"/>
        <v>-1</v>
      </c>
      <c r="AO21" s="31">
        <f t="shared" si="24"/>
        <v>0</v>
      </c>
      <c r="AP21" s="31">
        <f t="shared" si="25"/>
        <v>-1</v>
      </c>
      <c r="AQ21" s="31">
        <f t="shared" si="26"/>
        <v>0</v>
      </c>
      <c r="AR21" s="31">
        <f t="shared" si="27"/>
        <v>0</v>
      </c>
      <c r="AS21" s="49">
        <f t="shared" si="28"/>
        <v>5</v>
      </c>
    </row>
    <row r="22" spans="1:45" ht="12.75" x14ac:dyDescent="0.2">
      <c r="A22" s="50">
        <v>21</v>
      </c>
      <c r="B22" s="51">
        <v>43819.74682291667</v>
      </c>
      <c r="C22" s="52" t="s">
        <v>108</v>
      </c>
      <c r="D22" s="52" t="s">
        <v>109</v>
      </c>
      <c r="E22" s="53">
        <v>309185</v>
      </c>
      <c r="F22" s="30">
        <f t="shared" si="8"/>
        <v>3</v>
      </c>
      <c r="G22" s="30">
        <f t="shared" si="9"/>
        <v>0</v>
      </c>
      <c r="H22" s="30">
        <f t="shared" si="10"/>
        <v>9</v>
      </c>
      <c r="I22" s="30">
        <f t="shared" si="3"/>
        <v>1</v>
      </c>
      <c r="J22" s="30">
        <f t="shared" si="4"/>
        <v>8</v>
      </c>
      <c r="K22" s="30">
        <f t="shared" si="5"/>
        <v>5</v>
      </c>
      <c r="L22" s="31">
        <v>2</v>
      </c>
      <c r="M22" s="56" t="s">
        <v>110</v>
      </c>
      <c r="N22" s="34">
        <f t="shared" si="37"/>
        <v>36</v>
      </c>
      <c r="O22" s="33" t="s">
        <v>159</v>
      </c>
      <c r="P22" s="31">
        <f t="shared" si="30"/>
        <v>1</v>
      </c>
      <c r="Q22" s="56" t="s">
        <v>111</v>
      </c>
      <c r="R22" s="40">
        <f t="shared" si="13"/>
        <v>23.4375</v>
      </c>
      <c r="S22" s="33" t="s">
        <v>166</v>
      </c>
      <c r="T22" s="31">
        <v>1</v>
      </c>
      <c r="U22" s="55"/>
      <c r="V22" s="34">
        <f t="shared" si="15"/>
        <v>7299</v>
      </c>
      <c r="W22" s="33" t="s">
        <v>169</v>
      </c>
      <c r="X22" s="31">
        <f t="shared" si="16"/>
        <v>0</v>
      </c>
      <c r="Y22" s="52">
        <v>0.72</v>
      </c>
      <c r="Z22" s="46">
        <f t="shared" si="17"/>
        <v>0.71972318339100338</v>
      </c>
      <c r="AA22" s="31">
        <f t="shared" si="18"/>
        <v>1</v>
      </c>
      <c r="AB22" s="56" t="s">
        <v>112</v>
      </c>
      <c r="AC22" s="40">
        <f t="shared" si="19"/>
        <v>-4.8281739729180524</v>
      </c>
      <c r="AD22" s="33" t="s">
        <v>172</v>
      </c>
      <c r="AE22" s="31">
        <f t="shared" si="29"/>
        <v>1</v>
      </c>
      <c r="AF22" s="52" t="s">
        <v>81</v>
      </c>
      <c r="AG22" s="40">
        <f t="shared" si="20"/>
        <v>23.521825181113627</v>
      </c>
      <c r="AH22" s="33" t="s">
        <v>172</v>
      </c>
      <c r="AI22" s="31">
        <f t="shared" si="21"/>
        <v>1</v>
      </c>
      <c r="AJ22" s="52" t="s">
        <v>16</v>
      </c>
      <c r="AK22" s="31">
        <v>1</v>
      </c>
      <c r="AL22" s="52" t="s">
        <v>54</v>
      </c>
      <c r="AM22" s="31">
        <f t="shared" si="22"/>
        <v>1</v>
      </c>
      <c r="AN22" s="31">
        <f t="shared" si="23"/>
        <v>0</v>
      </c>
      <c r="AO22" s="31">
        <f t="shared" si="24"/>
        <v>1</v>
      </c>
      <c r="AP22" s="31">
        <f t="shared" si="25"/>
        <v>0</v>
      </c>
      <c r="AQ22" s="31">
        <f t="shared" si="26"/>
        <v>0</v>
      </c>
      <c r="AR22" s="31">
        <f t="shared" si="27"/>
        <v>0</v>
      </c>
      <c r="AS22" s="49">
        <f t="shared" si="28"/>
        <v>10</v>
      </c>
    </row>
    <row r="23" spans="1:45" ht="12.75" x14ac:dyDescent="0.2">
      <c r="A23" s="50">
        <v>22</v>
      </c>
      <c r="B23" s="51">
        <v>43819.747350624995</v>
      </c>
      <c r="C23" s="52" t="s">
        <v>113</v>
      </c>
      <c r="D23" s="52" t="s">
        <v>114</v>
      </c>
      <c r="E23" s="53">
        <v>308566</v>
      </c>
      <c r="F23" s="30">
        <f t="shared" si="8"/>
        <v>3</v>
      </c>
      <c r="G23" s="30">
        <f t="shared" si="9"/>
        <v>0</v>
      </c>
      <c r="H23" s="30">
        <f t="shared" si="10"/>
        <v>8</v>
      </c>
      <c r="I23" s="30">
        <f t="shared" si="3"/>
        <v>5</v>
      </c>
      <c r="J23" s="30">
        <f t="shared" si="4"/>
        <v>6</v>
      </c>
      <c r="K23" s="30">
        <f t="shared" si="5"/>
        <v>6</v>
      </c>
      <c r="L23" s="31">
        <v>2</v>
      </c>
      <c r="M23" s="56" t="s">
        <v>20</v>
      </c>
      <c r="N23" s="34">
        <f>(48-(50+K23*2-48))*1000</f>
        <v>34000</v>
      </c>
      <c r="O23" s="33" t="s">
        <v>166</v>
      </c>
      <c r="P23" s="31">
        <f>IF(M23="",0,IF(EXACT(RIGHT(M23,2),"Hz"),IF(ABS(VALUE(LEFT(M23,FIND(" ",M23,1)))-N23)&lt;=0.5,1,-1),-1))</f>
        <v>1</v>
      </c>
      <c r="Q23" s="56" t="s">
        <v>42</v>
      </c>
      <c r="R23" s="40">
        <f t="shared" si="13"/>
        <v>93.75</v>
      </c>
      <c r="S23" s="33" t="s">
        <v>166</v>
      </c>
      <c r="T23" s="31">
        <f t="shared" si="14"/>
        <v>1</v>
      </c>
      <c r="U23" s="56">
        <v>7199</v>
      </c>
      <c r="V23" s="34">
        <f t="shared" si="15"/>
        <v>7199</v>
      </c>
      <c r="W23" s="33" t="s">
        <v>169</v>
      </c>
      <c r="X23" s="31">
        <v>1</v>
      </c>
      <c r="Y23" s="52">
        <v>0.69099999999999995</v>
      </c>
      <c r="Z23" s="46">
        <f t="shared" si="17"/>
        <v>0.69135802469135799</v>
      </c>
      <c r="AA23" s="31">
        <f t="shared" si="18"/>
        <v>1</v>
      </c>
      <c r="AB23" s="56" t="s">
        <v>22</v>
      </c>
      <c r="AC23" s="40">
        <f t="shared" si="19"/>
        <v>-6.0205999132796215</v>
      </c>
      <c r="AD23" s="33" t="s">
        <v>172</v>
      </c>
      <c r="AE23" s="31">
        <f t="shared" si="29"/>
        <v>1</v>
      </c>
      <c r="AF23" s="52" t="s">
        <v>23</v>
      </c>
      <c r="AG23" s="40">
        <f t="shared" si="20"/>
        <v>24.082399653118497</v>
      </c>
      <c r="AH23" s="33" t="s">
        <v>172</v>
      </c>
      <c r="AI23" s="31">
        <f t="shared" si="21"/>
        <v>1</v>
      </c>
      <c r="AJ23" s="52" t="s">
        <v>16</v>
      </c>
      <c r="AK23" s="31">
        <v>1</v>
      </c>
      <c r="AL23" s="52" t="s">
        <v>17</v>
      </c>
      <c r="AM23" s="31">
        <f t="shared" si="22"/>
        <v>1</v>
      </c>
      <c r="AN23" s="31">
        <f t="shared" si="23"/>
        <v>0</v>
      </c>
      <c r="AO23" s="31">
        <f t="shared" si="24"/>
        <v>1</v>
      </c>
      <c r="AP23" s="31">
        <f t="shared" si="25"/>
        <v>0</v>
      </c>
      <c r="AQ23" s="31">
        <f t="shared" si="26"/>
        <v>1</v>
      </c>
      <c r="AR23" s="31">
        <f t="shared" si="27"/>
        <v>0</v>
      </c>
      <c r="AS23" s="49">
        <f t="shared" si="28"/>
        <v>12</v>
      </c>
    </row>
    <row r="24" spans="1:45" ht="12.75" x14ac:dyDescent="0.2">
      <c r="A24" s="50">
        <v>23</v>
      </c>
      <c r="B24" s="51">
        <v>43819.748283564812</v>
      </c>
      <c r="C24" s="52" t="s">
        <v>115</v>
      </c>
      <c r="D24" s="52" t="s">
        <v>116</v>
      </c>
      <c r="E24" s="53">
        <v>300032</v>
      </c>
      <c r="F24" s="30">
        <f t="shared" si="8"/>
        <v>3</v>
      </c>
      <c r="G24" s="30">
        <f t="shared" si="9"/>
        <v>0</v>
      </c>
      <c r="H24" s="30">
        <f t="shared" si="10"/>
        <v>0</v>
      </c>
      <c r="I24" s="30">
        <f t="shared" si="3"/>
        <v>0</v>
      </c>
      <c r="J24" s="30">
        <f t="shared" si="4"/>
        <v>3</v>
      </c>
      <c r="K24" s="30">
        <f t="shared" si="5"/>
        <v>2</v>
      </c>
      <c r="L24" s="31">
        <v>2</v>
      </c>
      <c r="M24" s="56" t="s">
        <v>85</v>
      </c>
      <c r="N24" s="34">
        <f t="shared" ref="N24:N28" si="38">48-(50+K24*2-48)</f>
        <v>42</v>
      </c>
      <c r="O24" s="33" t="s">
        <v>159</v>
      </c>
      <c r="P24" s="31">
        <f t="shared" si="30"/>
        <v>1</v>
      </c>
      <c r="Q24" s="56" t="s">
        <v>117</v>
      </c>
      <c r="R24" s="34">
        <f t="shared" si="13"/>
        <v>750</v>
      </c>
      <c r="S24" s="33" t="s">
        <v>166</v>
      </c>
      <c r="T24" s="31">
        <v>1</v>
      </c>
      <c r="U24" s="58">
        <v>6500</v>
      </c>
      <c r="V24" s="34">
        <f t="shared" si="15"/>
        <v>6499</v>
      </c>
      <c r="W24" s="33" t="s">
        <v>169</v>
      </c>
      <c r="X24" s="31">
        <v>0</v>
      </c>
      <c r="Y24" s="52">
        <v>0.81630000000000003</v>
      </c>
      <c r="Z24" s="46">
        <f t="shared" si="17"/>
        <v>0.81632653061224492</v>
      </c>
      <c r="AA24" s="31">
        <f t="shared" si="18"/>
        <v>1</v>
      </c>
      <c r="AB24" s="55"/>
      <c r="AC24" s="40">
        <f t="shared" si="19"/>
        <v>-2.3149206689296116</v>
      </c>
      <c r="AD24" s="33" t="s">
        <v>172</v>
      </c>
      <c r="AE24" s="31">
        <f t="shared" si="29"/>
        <v>0</v>
      </c>
      <c r="AF24" s="52" t="s">
        <v>118</v>
      </c>
      <c r="AG24" s="40">
        <f t="shared" si="20"/>
        <v>21.583624920952499</v>
      </c>
      <c r="AH24" s="33" t="s">
        <v>172</v>
      </c>
      <c r="AI24" s="31">
        <f t="shared" si="21"/>
        <v>1</v>
      </c>
      <c r="AJ24" s="52" t="s">
        <v>16</v>
      </c>
      <c r="AK24" s="31">
        <v>1</v>
      </c>
      <c r="AL24" s="52" t="s">
        <v>98</v>
      </c>
      <c r="AM24" s="31">
        <f t="shared" si="22"/>
        <v>1</v>
      </c>
      <c r="AN24" s="31">
        <f t="shared" si="23"/>
        <v>-1</v>
      </c>
      <c r="AO24" s="31">
        <f t="shared" si="24"/>
        <v>0</v>
      </c>
      <c r="AP24" s="31">
        <f t="shared" si="25"/>
        <v>-1</v>
      </c>
      <c r="AQ24" s="31">
        <f t="shared" si="26"/>
        <v>0</v>
      </c>
      <c r="AR24" s="31">
        <f t="shared" si="27"/>
        <v>0</v>
      </c>
      <c r="AS24" s="49">
        <f t="shared" si="28"/>
        <v>6</v>
      </c>
    </row>
    <row r="25" spans="1:45" ht="12.75" x14ac:dyDescent="0.2">
      <c r="A25" s="50">
        <v>24</v>
      </c>
      <c r="B25" s="51">
        <v>43819.75069403935</v>
      </c>
      <c r="C25" s="52" t="s">
        <v>119</v>
      </c>
      <c r="D25" s="52" t="s">
        <v>120</v>
      </c>
      <c r="E25" s="53">
        <v>300694</v>
      </c>
      <c r="F25" s="30">
        <f t="shared" si="8"/>
        <v>3</v>
      </c>
      <c r="G25" s="30">
        <f t="shared" si="9"/>
        <v>0</v>
      </c>
      <c r="H25" s="30">
        <f t="shared" si="10"/>
        <v>0</v>
      </c>
      <c r="I25" s="30">
        <f t="shared" si="3"/>
        <v>6</v>
      </c>
      <c r="J25" s="30">
        <f t="shared" si="4"/>
        <v>9</v>
      </c>
      <c r="K25" s="30">
        <f t="shared" si="5"/>
        <v>4</v>
      </c>
      <c r="L25" s="31">
        <v>2</v>
      </c>
      <c r="M25" s="60" t="s">
        <v>121</v>
      </c>
      <c r="N25" s="34">
        <f t="shared" si="38"/>
        <v>38</v>
      </c>
      <c r="O25" s="33" t="s">
        <v>159</v>
      </c>
      <c r="P25" s="31">
        <v>0</v>
      </c>
      <c r="Q25" s="60" t="s">
        <v>122</v>
      </c>
      <c r="R25" s="40">
        <f t="shared" si="13"/>
        <v>11.71875</v>
      </c>
      <c r="S25" s="33" t="s">
        <v>166</v>
      </c>
      <c r="T25" s="31">
        <v>0</v>
      </c>
      <c r="U25" s="58">
        <v>7300</v>
      </c>
      <c r="V25" s="34">
        <f t="shared" si="15"/>
        <v>7299</v>
      </c>
      <c r="W25" s="33" t="s">
        <v>169</v>
      </c>
      <c r="X25" s="31">
        <v>0</v>
      </c>
      <c r="Y25" s="52">
        <v>0.75</v>
      </c>
      <c r="Z25" s="46">
        <f t="shared" si="17"/>
        <v>0.75</v>
      </c>
      <c r="AA25" s="31">
        <f t="shared" si="18"/>
        <v>1</v>
      </c>
      <c r="AB25" s="59">
        <v>-3.83</v>
      </c>
      <c r="AC25" s="40">
        <f t="shared" si="19"/>
        <v>-3.8386500649513016</v>
      </c>
      <c r="AD25" s="33" t="s">
        <v>172</v>
      </c>
      <c r="AE25" s="31">
        <f t="shared" si="29"/>
        <v>-1</v>
      </c>
      <c r="AF25" s="62" t="s">
        <v>123</v>
      </c>
      <c r="AG25" s="40">
        <f t="shared" si="20"/>
        <v>22.92256071356476</v>
      </c>
      <c r="AH25" s="33" t="s">
        <v>172</v>
      </c>
      <c r="AI25" s="31">
        <v>1</v>
      </c>
      <c r="AJ25" s="52" t="s">
        <v>16</v>
      </c>
      <c r="AK25" s="31">
        <v>1</v>
      </c>
      <c r="AL25" s="52" t="s">
        <v>17</v>
      </c>
      <c r="AM25" s="31">
        <f t="shared" si="22"/>
        <v>1</v>
      </c>
      <c r="AN25" s="31">
        <f t="shared" si="23"/>
        <v>0</v>
      </c>
      <c r="AO25" s="31">
        <f t="shared" si="24"/>
        <v>1</v>
      </c>
      <c r="AP25" s="31">
        <f t="shared" si="25"/>
        <v>0</v>
      </c>
      <c r="AQ25" s="31">
        <f t="shared" si="26"/>
        <v>1</v>
      </c>
      <c r="AR25" s="31">
        <f t="shared" si="27"/>
        <v>0</v>
      </c>
      <c r="AS25" s="49">
        <f t="shared" si="28"/>
        <v>7</v>
      </c>
    </row>
    <row r="26" spans="1:45" ht="12.75" x14ac:dyDescent="0.2">
      <c r="A26" s="50">
        <v>25</v>
      </c>
      <c r="B26" s="51">
        <v>43819.751108472221</v>
      </c>
      <c r="C26" s="52" t="s">
        <v>124</v>
      </c>
      <c r="D26" s="52" t="s">
        <v>125</v>
      </c>
      <c r="E26" s="53">
        <v>301743</v>
      </c>
      <c r="F26" s="30">
        <f t="shared" si="8"/>
        <v>3</v>
      </c>
      <c r="G26" s="30">
        <f t="shared" si="9"/>
        <v>0</v>
      </c>
      <c r="H26" s="30">
        <f t="shared" si="10"/>
        <v>1</v>
      </c>
      <c r="I26" s="30">
        <f t="shared" si="3"/>
        <v>7</v>
      </c>
      <c r="J26" s="30">
        <f t="shared" si="4"/>
        <v>4</v>
      </c>
      <c r="K26" s="30">
        <f t="shared" si="5"/>
        <v>3</v>
      </c>
      <c r="L26" s="31">
        <v>2</v>
      </c>
      <c r="M26" s="56" t="s">
        <v>12</v>
      </c>
      <c r="N26" s="34">
        <f t="shared" si="38"/>
        <v>40</v>
      </c>
      <c r="O26" s="33" t="s">
        <v>159</v>
      </c>
      <c r="P26" s="31">
        <f t="shared" si="30"/>
        <v>1</v>
      </c>
      <c r="Q26" s="61" t="s">
        <v>126</v>
      </c>
      <c r="R26" s="34">
        <f t="shared" si="13"/>
        <v>375</v>
      </c>
      <c r="S26" s="33" t="s">
        <v>166</v>
      </c>
      <c r="T26" s="31">
        <v>-1</v>
      </c>
      <c r="U26" s="58">
        <v>6700</v>
      </c>
      <c r="V26" s="34">
        <f t="shared" si="15"/>
        <v>6699</v>
      </c>
      <c r="W26" s="33" t="s">
        <v>169</v>
      </c>
      <c r="X26" s="31">
        <v>0</v>
      </c>
      <c r="Y26" s="52">
        <v>0.78200000000000003</v>
      </c>
      <c r="Z26" s="46">
        <f t="shared" si="17"/>
        <v>0.78222222222222215</v>
      </c>
      <c r="AA26" s="31">
        <f t="shared" si="18"/>
        <v>1</v>
      </c>
      <c r="AB26" s="55"/>
      <c r="AC26" s="40">
        <f t="shared" si="19"/>
        <v>-3.0102999566398116</v>
      </c>
      <c r="AD26" s="33" t="s">
        <v>172</v>
      </c>
      <c r="AE26" s="31">
        <f t="shared" si="29"/>
        <v>0</v>
      </c>
      <c r="AF26" s="52" t="s">
        <v>93</v>
      </c>
      <c r="AG26" s="40">
        <f t="shared" si="20"/>
        <v>22.278867046136735</v>
      </c>
      <c r="AH26" s="33" t="s">
        <v>172</v>
      </c>
      <c r="AI26" s="31">
        <f t="shared" si="21"/>
        <v>1</v>
      </c>
      <c r="AJ26" s="52" t="s">
        <v>16</v>
      </c>
      <c r="AK26" s="31">
        <v>1</v>
      </c>
      <c r="AL26" s="52" t="s">
        <v>17</v>
      </c>
      <c r="AM26" s="31">
        <f t="shared" si="22"/>
        <v>1</v>
      </c>
      <c r="AN26" s="31">
        <f t="shared" si="23"/>
        <v>0</v>
      </c>
      <c r="AO26" s="31">
        <f t="shared" si="24"/>
        <v>1</v>
      </c>
      <c r="AP26" s="31">
        <f t="shared" si="25"/>
        <v>0</v>
      </c>
      <c r="AQ26" s="31">
        <f t="shared" si="26"/>
        <v>1</v>
      </c>
      <c r="AR26" s="31">
        <f t="shared" si="27"/>
        <v>0</v>
      </c>
      <c r="AS26" s="49">
        <f t="shared" si="28"/>
        <v>8</v>
      </c>
    </row>
    <row r="27" spans="1:45" ht="12.75" x14ac:dyDescent="0.2">
      <c r="A27" s="50">
        <v>26</v>
      </c>
      <c r="B27" s="51">
        <v>43819.751902557866</v>
      </c>
      <c r="C27" s="52" t="s">
        <v>127</v>
      </c>
      <c r="D27" s="52" t="s">
        <v>128</v>
      </c>
      <c r="E27" s="53">
        <v>300839</v>
      </c>
      <c r="F27" s="30">
        <f t="shared" si="8"/>
        <v>3</v>
      </c>
      <c r="G27" s="30">
        <f t="shared" si="9"/>
        <v>0</v>
      </c>
      <c r="H27" s="30">
        <f t="shared" si="10"/>
        <v>0</v>
      </c>
      <c r="I27" s="30">
        <f t="shared" si="3"/>
        <v>8</v>
      </c>
      <c r="J27" s="30">
        <f t="shared" si="4"/>
        <v>3</v>
      </c>
      <c r="K27" s="30">
        <f t="shared" si="5"/>
        <v>9</v>
      </c>
      <c r="L27" s="31">
        <v>2</v>
      </c>
      <c r="M27" s="60" t="s">
        <v>129</v>
      </c>
      <c r="N27" s="34">
        <f t="shared" si="38"/>
        <v>28</v>
      </c>
      <c r="O27" s="33" t="s">
        <v>159</v>
      </c>
      <c r="P27" s="31">
        <v>0</v>
      </c>
      <c r="Q27" s="60" t="s">
        <v>130</v>
      </c>
      <c r="R27" s="34">
        <f t="shared" si="13"/>
        <v>750</v>
      </c>
      <c r="S27" s="33" t="s">
        <v>166</v>
      </c>
      <c r="T27" s="31">
        <v>0</v>
      </c>
      <c r="U27" s="58" t="s">
        <v>131</v>
      </c>
      <c r="V27" s="34">
        <f t="shared" si="15"/>
        <v>7199</v>
      </c>
      <c r="W27" s="33" t="s">
        <v>169</v>
      </c>
      <c r="X27" s="31">
        <v>0</v>
      </c>
      <c r="Y27" s="52">
        <v>0.61599999999999999</v>
      </c>
      <c r="Z27" s="46">
        <f t="shared" si="17"/>
        <v>0.6167800453514739</v>
      </c>
      <c r="AA27" s="31">
        <f t="shared" si="18"/>
        <v>1</v>
      </c>
      <c r="AB27" s="61" t="s">
        <v>132</v>
      </c>
      <c r="AC27" s="40">
        <f t="shared" si="19"/>
        <v>-11.740075388613217</v>
      </c>
      <c r="AD27" s="33" t="s">
        <v>172</v>
      </c>
      <c r="AE27" s="31">
        <v>-1</v>
      </c>
      <c r="AF27" s="62" t="s">
        <v>133</v>
      </c>
      <c r="AG27" s="40">
        <f t="shared" si="20"/>
        <v>25.575072019056577</v>
      </c>
      <c r="AH27" s="33" t="s">
        <v>172</v>
      </c>
      <c r="AI27" s="31">
        <v>1</v>
      </c>
      <c r="AJ27" s="52" t="s">
        <v>16</v>
      </c>
      <c r="AK27" s="31">
        <v>1</v>
      </c>
      <c r="AL27" s="52" t="s">
        <v>54</v>
      </c>
      <c r="AM27" s="31">
        <f t="shared" si="22"/>
        <v>1</v>
      </c>
      <c r="AN27" s="31">
        <f t="shared" si="23"/>
        <v>0</v>
      </c>
      <c r="AO27" s="31">
        <f t="shared" si="24"/>
        <v>1</v>
      </c>
      <c r="AP27" s="31">
        <f t="shared" si="25"/>
        <v>0</v>
      </c>
      <c r="AQ27" s="31">
        <f t="shared" si="26"/>
        <v>0</v>
      </c>
      <c r="AR27" s="31">
        <f t="shared" si="27"/>
        <v>0</v>
      </c>
      <c r="AS27" s="49">
        <f t="shared" si="28"/>
        <v>6</v>
      </c>
    </row>
    <row r="28" spans="1:45" ht="13.5" thickBot="1" x14ac:dyDescent="0.25">
      <c r="A28" s="18">
        <v>27</v>
      </c>
      <c r="B28" s="63">
        <v>43819.75215951389</v>
      </c>
      <c r="C28" s="64" t="s">
        <v>134</v>
      </c>
      <c r="D28" s="64" t="s">
        <v>135</v>
      </c>
      <c r="E28" s="65">
        <v>298817</v>
      </c>
      <c r="F28" s="19">
        <f t="shared" si="8"/>
        <v>2</v>
      </c>
      <c r="G28" s="19">
        <f t="shared" si="9"/>
        <v>9</v>
      </c>
      <c r="H28" s="19">
        <f t="shared" si="10"/>
        <v>8</v>
      </c>
      <c r="I28" s="19">
        <f t="shared" si="3"/>
        <v>8</v>
      </c>
      <c r="J28" s="19">
        <f t="shared" si="4"/>
        <v>1</v>
      </c>
      <c r="K28" s="19">
        <f t="shared" si="5"/>
        <v>7</v>
      </c>
      <c r="L28" s="66">
        <v>2</v>
      </c>
      <c r="M28" s="67" t="s">
        <v>136</v>
      </c>
      <c r="N28" s="68">
        <f t="shared" si="38"/>
        <v>32</v>
      </c>
      <c r="O28" s="69" t="s">
        <v>159</v>
      </c>
      <c r="P28" s="66">
        <v>0</v>
      </c>
      <c r="Q28" s="67" t="s">
        <v>137</v>
      </c>
      <c r="R28" s="68">
        <f t="shared" si="13"/>
        <v>3000</v>
      </c>
      <c r="S28" s="69" t="s">
        <v>166</v>
      </c>
      <c r="T28" s="66">
        <f t="shared" si="14"/>
        <v>-1</v>
      </c>
      <c r="U28" s="70">
        <v>6800</v>
      </c>
      <c r="V28" s="68">
        <f t="shared" si="15"/>
        <v>6799</v>
      </c>
      <c r="W28" s="69" t="s">
        <v>169</v>
      </c>
      <c r="X28" s="66">
        <v>0</v>
      </c>
      <c r="Y28" s="64">
        <v>0.66500000000000004</v>
      </c>
      <c r="Z28" s="71">
        <f t="shared" si="17"/>
        <v>0.66481994459833793</v>
      </c>
      <c r="AA28" s="66">
        <f t="shared" si="18"/>
        <v>1</v>
      </c>
      <c r="AB28" s="72"/>
      <c r="AC28" s="73">
        <f t="shared" si="19"/>
        <v>-7.4810348119372048</v>
      </c>
      <c r="AD28" s="69" t="s">
        <v>172</v>
      </c>
      <c r="AE28" s="66">
        <f t="shared" si="29"/>
        <v>0</v>
      </c>
      <c r="AF28" s="64" t="s">
        <v>39</v>
      </c>
      <c r="AG28" s="73">
        <f t="shared" si="20"/>
        <v>24.608978427565479</v>
      </c>
      <c r="AH28" s="69" t="s">
        <v>172</v>
      </c>
      <c r="AI28" s="66">
        <f t="shared" si="21"/>
        <v>1</v>
      </c>
      <c r="AJ28" s="64" t="s">
        <v>16</v>
      </c>
      <c r="AK28" s="66">
        <v>1</v>
      </c>
      <c r="AL28" s="64" t="s">
        <v>17</v>
      </c>
      <c r="AM28" s="66">
        <f t="shared" si="22"/>
        <v>1</v>
      </c>
      <c r="AN28" s="66">
        <f t="shared" si="23"/>
        <v>0</v>
      </c>
      <c r="AO28" s="66">
        <f t="shared" si="24"/>
        <v>1</v>
      </c>
      <c r="AP28" s="66">
        <f t="shared" si="25"/>
        <v>0</v>
      </c>
      <c r="AQ28" s="66">
        <f t="shared" si="26"/>
        <v>1</v>
      </c>
      <c r="AR28" s="66">
        <f t="shared" si="27"/>
        <v>0</v>
      </c>
      <c r="AS28" s="74">
        <f t="shared" si="28"/>
        <v>7</v>
      </c>
    </row>
    <row r="30" spans="1:45" ht="15.75" customHeight="1" x14ac:dyDescent="0.2">
      <c r="A30" s="35" t="s">
        <v>179</v>
      </c>
      <c r="B30"/>
    </row>
    <row r="31" spans="1:45" ht="15.75" customHeight="1" x14ac:dyDescent="0.2">
      <c r="A31" s="41" t="s">
        <v>182</v>
      </c>
      <c r="B31" s="42"/>
      <c r="C31" s="42"/>
    </row>
    <row r="32" spans="1:45" ht="15.75" customHeight="1" x14ac:dyDescent="0.2">
      <c r="A32" s="36" t="s">
        <v>181</v>
      </c>
      <c r="B32" s="37"/>
      <c r="C32" s="37"/>
    </row>
    <row r="33" spans="1:3" ht="15.75" customHeight="1" x14ac:dyDescent="0.2">
      <c r="A33" s="38" t="s">
        <v>180</v>
      </c>
      <c r="B33" s="39"/>
      <c r="C33" s="39"/>
    </row>
    <row r="34" spans="1:3" ht="15.75" customHeight="1" x14ac:dyDescent="0.2">
      <c r="A34" s="43" t="s">
        <v>183</v>
      </c>
      <c r="B34" s="44"/>
      <c r="C34" s="45"/>
    </row>
  </sheetData>
  <conditionalFormatting sqref="L2:L28">
    <cfRule type="cellIs" dxfId="47" priority="47" operator="lessThan">
      <formula>0</formula>
    </cfRule>
  </conditionalFormatting>
  <conditionalFormatting sqref="L2:L28">
    <cfRule type="containsText" dxfId="46" priority="48" operator="containsText" text=",">
      <formula>NOT(ISERROR(SEARCH(",",L2)))</formula>
    </cfRule>
  </conditionalFormatting>
  <conditionalFormatting sqref="L2:L28">
    <cfRule type="cellIs" dxfId="45" priority="46" operator="equal">
      <formula>0</formula>
    </cfRule>
  </conditionalFormatting>
  <conditionalFormatting sqref="P2 P5 P11:P12 P15:P16 P18:P22 P24:P28">
    <cfRule type="cellIs" dxfId="44" priority="44" operator="lessThan">
      <formula>0</formula>
    </cfRule>
  </conditionalFormatting>
  <conditionalFormatting sqref="P2 P5 P11:P12 P15:P16 P18:P22 P24:P28">
    <cfRule type="containsText" dxfId="43" priority="45" operator="containsText" text=",">
      <formula>NOT(ISERROR(SEARCH(",",P2)))</formula>
    </cfRule>
  </conditionalFormatting>
  <conditionalFormatting sqref="P2 P5 P11:P12 P15:P16 P18:P22 P24:P28">
    <cfRule type="cellIs" dxfId="42" priority="43" operator="equal">
      <formula>0</formula>
    </cfRule>
  </conditionalFormatting>
  <conditionalFormatting sqref="P3:P4">
    <cfRule type="cellIs" dxfId="41" priority="41" operator="lessThan">
      <formula>0</formula>
    </cfRule>
  </conditionalFormatting>
  <conditionalFormatting sqref="P3:P4">
    <cfRule type="containsText" dxfId="40" priority="42" operator="containsText" text=",">
      <formula>NOT(ISERROR(SEARCH(",",P3)))</formula>
    </cfRule>
  </conditionalFormatting>
  <conditionalFormatting sqref="P3:P4">
    <cfRule type="cellIs" dxfId="39" priority="40" operator="equal">
      <formula>0</formula>
    </cfRule>
  </conditionalFormatting>
  <conditionalFormatting sqref="P6:P10">
    <cfRule type="cellIs" dxfId="38" priority="38" operator="lessThan">
      <formula>0</formula>
    </cfRule>
  </conditionalFormatting>
  <conditionalFormatting sqref="P6:P10">
    <cfRule type="containsText" dxfId="37" priority="39" operator="containsText" text=",">
      <formula>NOT(ISERROR(SEARCH(",",P6)))</formula>
    </cfRule>
  </conditionalFormatting>
  <conditionalFormatting sqref="P6:P10">
    <cfRule type="cellIs" dxfId="36" priority="37" operator="equal">
      <formula>0</formula>
    </cfRule>
  </conditionalFormatting>
  <conditionalFormatting sqref="P13:P14">
    <cfRule type="cellIs" dxfId="35" priority="35" operator="lessThan">
      <formula>0</formula>
    </cfRule>
  </conditionalFormatting>
  <conditionalFormatting sqref="P13:P14">
    <cfRule type="containsText" dxfId="34" priority="36" operator="containsText" text=",">
      <formula>NOT(ISERROR(SEARCH(",",P13)))</formula>
    </cfRule>
  </conditionalFormatting>
  <conditionalFormatting sqref="P13:P14">
    <cfRule type="cellIs" dxfId="33" priority="34" operator="equal">
      <formula>0</formula>
    </cfRule>
  </conditionalFormatting>
  <conditionalFormatting sqref="P17">
    <cfRule type="cellIs" dxfId="32" priority="32" operator="lessThan">
      <formula>0</formula>
    </cfRule>
  </conditionalFormatting>
  <conditionalFormatting sqref="P17">
    <cfRule type="containsText" dxfId="31" priority="33" operator="containsText" text=",">
      <formula>NOT(ISERROR(SEARCH(",",P17)))</formula>
    </cfRule>
  </conditionalFormatting>
  <conditionalFormatting sqref="P17">
    <cfRule type="cellIs" dxfId="30" priority="31" operator="equal">
      <formula>0</formula>
    </cfRule>
  </conditionalFormatting>
  <conditionalFormatting sqref="P23">
    <cfRule type="cellIs" dxfId="29" priority="29" operator="lessThan">
      <formula>0</formula>
    </cfRule>
  </conditionalFormatting>
  <conditionalFormatting sqref="P23">
    <cfRule type="containsText" dxfId="28" priority="30" operator="containsText" text=",">
      <formula>NOT(ISERROR(SEARCH(",",P23)))</formula>
    </cfRule>
  </conditionalFormatting>
  <conditionalFormatting sqref="P23">
    <cfRule type="cellIs" dxfId="27" priority="28" operator="equal">
      <formula>0</formula>
    </cfRule>
  </conditionalFormatting>
  <conditionalFormatting sqref="T2:T28">
    <cfRule type="cellIs" dxfId="26" priority="26" operator="lessThan">
      <formula>0</formula>
    </cfRule>
  </conditionalFormatting>
  <conditionalFormatting sqref="T2:T28">
    <cfRule type="containsText" dxfId="25" priority="27" operator="containsText" text=",">
      <formula>NOT(ISERROR(SEARCH(",",T2)))</formula>
    </cfRule>
  </conditionalFormatting>
  <conditionalFormatting sqref="T2:T28">
    <cfRule type="cellIs" dxfId="24" priority="25" operator="equal">
      <formula>0</formula>
    </cfRule>
  </conditionalFormatting>
  <conditionalFormatting sqref="X2:X28">
    <cfRule type="cellIs" dxfId="23" priority="23" operator="lessThan">
      <formula>0</formula>
    </cfRule>
  </conditionalFormatting>
  <conditionalFormatting sqref="X2:X28">
    <cfRule type="containsText" dxfId="22" priority="24" operator="containsText" text=",">
      <formula>NOT(ISERROR(SEARCH(",",X2)))</formula>
    </cfRule>
  </conditionalFormatting>
  <conditionalFormatting sqref="X2:X28">
    <cfRule type="cellIs" dxfId="21" priority="22" operator="equal">
      <formula>0</formula>
    </cfRule>
  </conditionalFormatting>
  <conditionalFormatting sqref="AA2:AA28">
    <cfRule type="cellIs" dxfId="20" priority="17" operator="lessThan">
      <formula>0</formula>
    </cfRule>
  </conditionalFormatting>
  <conditionalFormatting sqref="AA2:AA28">
    <cfRule type="containsText" dxfId="19" priority="18" operator="containsText" text=",">
      <formula>NOT(ISERROR(SEARCH(",",AA2)))</formula>
    </cfRule>
  </conditionalFormatting>
  <conditionalFormatting sqref="AA2:AA28">
    <cfRule type="cellIs" dxfId="18" priority="16" operator="equal">
      <formula>0</formula>
    </cfRule>
  </conditionalFormatting>
  <conditionalFormatting sqref="AE2:AE28">
    <cfRule type="cellIs" dxfId="17" priority="14" operator="lessThan">
      <formula>0</formula>
    </cfRule>
  </conditionalFormatting>
  <conditionalFormatting sqref="AE2:AE28">
    <cfRule type="containsText" dxfId="16" priority="15" operator="containsText" text=",">
      <formula>NOT(ISERROR(SEARCH(",",AE2)))</formula>
    </cfRule>
  </conditionalFormatting>
  <conditionalFormatting sqref="AE2:AE28">
    <cfRule type="cellIs" dxfId="15" priority="13" operator="equal">
      <formula>0</formula>
    </cfRule>
  </conditionalFormatting>
  <conditionalFormatting sqref="AK2:AK28">
    <cfRule type="cellIs" dxfId="14" priority="11" operator="lessThan">
      <formula>0</formula>
    </cfRule>
  </conditionalFormatting>
  <conditionalFormatting sqref="AK2:AK28">
    <cfRule type="containsText" dxfId="13" priority="12" operator="containsText" text=",">
      <formula>NOT(ISERROR(SEARCH(",",AK2)))</formula>
    </cfRule>
  </conditionalFormatting>
  <conditionalFormatting sqref="AK2:AK28">
    <cfRule type="cellIs" dxfId="12" priority="10" operator="equal">
      <formula>0</formula>
    </cfRule>
  </conditionalFormatting>
  <conditionalFormatting sqref="AI2:AI28">
    <cfRule type="cellIs" dxfId="11" priority="8" operator="lessThan">
      <formula>0</formula>
    </cfRule>
  </conditionalFormatting>
  <conditionalFormatting sqref="AI2:AI28">
    <cfRule type="containsText" dxfId="10" priority="9" operator="containsText" text=",">
      <formula>NOT(ISERROR(SEARCH(",",AI2)))</formula>
    </cfRule>
  </conditionalFormatting>
  <conditionalFormatting sqref="AI2:AI28">
    <cfRule type="cellIs" dxfId="9" priority="7" operator="equal">
      <formula>0</formula>
    </cfRule>
  </conditionalFormatting>
  <conditionalFormatting sqref="AM2:AQ28">
    <cfRule type="cellIs" dxfId="5" priority="5" operator="lessThan">
      <formula>0</formula>
    </cfRule>
  </conditionalFormatting>
  <conditionalFormatting sqref="AM2:AQ28">
    <cfRule type="containsText" dxfId="4" priority="6" operator="containsText" text=",">
      <formula>NOT(ISERROR(SEARCH(",",AM2)))</formula>
    </cfRule>
  </conditionalFormatting>
  <conditionalFormatting sqref="AM2:AQ28">
    <cfRule type="cellIs" dxfId="3" priority="4" operator="equal">
      <formula>0</formula>
    </cfRule>
  </conditionalFormatting>
  <conditionalFormatting sqref="AR2:AR28">
    <cfRule type="cellIs" dxfId="2" priority="2" operator="lessThan">
      <formula>0</formula>
    </cfRule>
  </conditionalFormatting>
  <conditionalFormatting sqref="AR2:AR28">
    <cfRule type="containsText" dxfId="1" priority="3" operator="containsText" text=",">
      <formula>NOT(ISERROR(SEARCH(",",AR2)))</formula>
    </cfRule>
  </conditionalFormatting>
  <conditionalFormatting sqref="AR2:AR2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2.75" x14ac:dyDescent="0.2"/>
  <sheetData>
    <row r="1" spans="1:14" x14ac:dyDescent="0.2">
      <c r="A1" s="1" t="s">
        <v>165</v>
      </c>
    </row>
    <row r="2" spans="1:14" ht="13.5" thickBot="1" x14ac:dyDescent="0.25">
      <c r="A2" s="1"/>
    </row>
    <row r="3" spans="1:14" x14ac:dyDescent="0.2">
      <c r="A3" s="1"/>
      <c r="B3" s="15" t="s">
        <v>160</v>
      </c>
      <c r="C3" s="16" t="s">
        <v>138</v>
      </c>
      <c r="D3" s="16" t="s">
        <v>161</v>
      </c>
      <c r="E3" s="16" t="s">
        <v>162</v>
      </c>
      <c r="F3" s="16" t="s">
        <v>163</v>
      </c>
      <c r="G3" s="17" t="s">
        <v>164</v>
      </c>
    </row>
    <row r="4" spans="1:14" ht="13.5" thickBot="1" x14ac:dyDescent="0.25">
      <c r="A4" s="2" t="s">
        <v>3</v>
      </c>
      <c r="B4" s="18">
        <v>1</v>
      </c>
      <c r="C4" s="19">
        <v>2</v>
      </c>
      <c r="D4" s="19">
        <v>3</v>
      </c>
      <c r="E4" s="19">
        <v>4</v>
      </c>
      <c r="F4" s="19">
        <v>5</v>
      </c>
      <c r="G4" s="20">
        <v>6</v>
      </c>
    </row>
    <row r="6" spans="1:14" ht="33" customHeight="1" thickBot="1" x14ac:dyDescent="0.25">
      <c r="A6" s="9" t="s">
        <v>139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thickBot="1" x14ac:dyDescent="0.25">
      <c r="A7" s="4" t="s">
        <v>140</v>
      </c>
      <c r="L7" s="11" t="s">
        <v>158</v>
      </c>
      <c r="M7" s="12">
        <f>48-(50+F*2-48)</f>
        <v>34</v>
      </c>
      <c r="N7" s="13" t="s">
        <v>159</v>
      </c>
    </row>
    <row r="8" spans="1:14" x14ac:dyDescent="0.2">
      <c r="A8" s="6"/>
    </row>
    <row r="9" spans="1:14" ht="33" customHeight="1" thickBot="1" x14ac:dyDescent="0.25">
      <c r="A9" s="9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3.5" thickBot="1" x14ac:dyDescent="0.25">
      <c r="A10" s="4" t="s">
        <v>141</v>
      </c>
      <c r="L10" s="11" t="s">
        <v>167</v>
      </c>
      <c r="M10" s="21">
        <f>96000/(2^(E+4))</f>
        <v>187.5</v>
      </c>
      <c r="N10" s="22" t="s">
        <v>166</v>
      </c>
    </row>
    <row r="11" spans="1:14" x14ac:dyDescent="0.2">
      <c r="A11" s="6"/>
    </row>
    <row r="12" spans="1:14" ht="33" customHeight="1" thickBot="1" x14ac:dyDescent="0.25">
      <c r="A12" s="9" t="s">
        <v>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.75" thickBot="1" x14ac:dyDescent="0.25">
      <c r="A13" s="4" t="s">
        <v>140</v>
      </c>
      <c r="L13" s="11" t="s">
        <v>168</v>
      </c>
      <c r="M13" s="12">
        <f>2000+F*100+4000+E*100-1</f>
        <v>7099</v>
      </c>
      <c r="N13" s="13" t="s">
        <v>169</v>
      </c>
    </row>
    <row r="14" spans="1:14" x14ac:dyDescent="0.2">
      <c r="A14" s="6" t="s">
        <v>142</v>
      </c>
    </row>
    <row r="15" spans="1:14" ht="31.5" customHeight="1" thickBot="1" x14ac:dyDescent="0.25">
      <c r="A15" s="9" t="s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3.5" thickBot="1" x14ac:dyDescent="0.25">
      <c r="A16" s="4" t="s">
        <v>143</v>
      </c>
      <c r="L16" s="23" t="s">
        <v>170</v>
      </c>
      <c r="M16" s="24">
        <f>1-((2+F/4-1)/(2+F/4+1))^2</f>
        <v>0.69135802469135799</v>
      </c>
      <c r="N16" s="25"/>
    </row>
    <row r="17" spans="1:14" x14ac:dyDescent="0.2">
      <c r="A17" s="4"/>
    </row>
    <row r="18" spans="1:14" ht="30.75" customHeight="1" thickBot="1" x14ac:dyDescent="0.25">
      <c r="A18" s="9" t="s">
        <v>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 thickBot="1" x14ac:dyDescent="0.25">
      <c r="A19" s="4" t="s">
        <v>141</v>
      </c>
      <c r="L19" s="11" t="s">
        <v>171</v>
      </c>
      <c r="M19" s="21">
        <f>20*LOG10(COS((30+F*5)/180*PI()))</f>
        <v>-6.0205999132796215</v>
      </c>
      <c r="N19" s="13" t="s">
        <v>172</v>
      </c>
    </row>
    <row r="20" spans="1:14" ht="15" x14ac:dyDescent="0.2">
      <c r="A20" s="5" t="s">
        <v>142</v>
      </c>
    </row>
    <row r="21" spans="1:14" ht="45" customHeight="1" thickBot="1" x14ac:dyDescent="0.25">
      <c r="A21" s="9" t="s">
        <v>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3.5" thickBot="1" x14ac:dyDescent="0.25">
      <c r="A22" s="4" t="s">
        <v>141</v>
      </c>
      <c r="L22" s="11" t="s">
        <v>173</v>
      </c>
      <c r="M22" s="21">
        <f>20*LOG10(10+F)</f>
        <v>24.082399653118497</v>
      </c>
      <c r="N22" s="13" t="s">
        <v>172</v>
      </c>
    </row>
    <row r="23" spans="1:14" ht="15" x14ac:dyDescent="0.2">
      <c r="A23" s="5" t="s">
        <v>142</v>
      </c>
    </row>
    <row r="24" spans="1:14" ht="17.25" x14ac:dyDescent="0.2">
      <c r="A24" s="3" t="s">
        <v>144</v>
      </c>
    </row>
    <row r="25" spans="1:14" ht="15" x14ac:dyDescent="0.2">
      <c r="A25" s="7" t="s">
        <v>145</v>
      </c>
    </row>
    <row r="26" spans="1:14" ht="15" x14ac:dyDescent="0.2">
      <c r="A26" s="7" t="s">
        <v>146</v>
      </c>
    </row>
    <row r="27" spans="1:14" ht="15" x14ac:dyDescent="0.2">
      <c r="A27" s="7" t="s">
        <v>147</v>
      </c>
    </row>
    <row r="28" spans="1:14" ht="15" x14ac:dyDescent="0.2">
      <c r="A28" s="26" t="s">
        <v>148</v>
      </c>
      <c r="B28" s="27"/>
      <c r="C28" s="27"/>
    </row>
    <row r="29" spans="1:14" ht="15" x14ac:dyDescent="0.2">
      <c r="A29" s="7" t="s">
        <v>149</v>
      </c>
    </row>
    <row r="30" spans="1:14" ht="15" x14ac:dyDescent="0.2">
      <c r="A30" s="7" t="s">
        <v>150</v>
      </c>
    </row>
    <row r="31" spans="1:14" ht="15" x14ac:dyDescent="0.2">
      <c r="A31" s="3"/>
    </row>
    <row r="32" spans="1:14" ht="15" x14ac:dyDescent="0.2">
      <c r="A32" s="3" t="s">
        <v>11</v>
      </c>
      <c r="F32" s="8" t="s">
        <v>151</v>
      </c>
    </row>
    <row r="33" spans="1:11" ht="15" x14ac:dyDescent="0.2">
      <c r="A33" s="26" t="s">
        <v>152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5" x14ac:dyDescent="0.2">
      <c r="A34" s="7" t="s">
        <v>153</v>
      </c>
    </row>
    <row r="35" spans="1:11" ht="15" x14ac:dyDescent="0.2">
      <c r="A35" s="26" t="s">
        <v>154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5" x14ac:dyDescent="0.2">
      <c r="A36" s="7" t="s">
        <v>155</v>
      </c>
    </row>
    <row r="37" spans="1:11" ht="15" x14ac:dyDescent="0.2">
      <c r="A37" s="26" t="s">
        <v>156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5" x14ac:dyDescent="0.2">
      <c r="A38" s="7" t="s">
        <v>157</v>
      </c>
    </row>
    <row r="39" spans="1:11" ht="15" x14ac:dyDescent="0.2">
      <c r="A39" s="5"/>
    </row>
  </sheetData>
  <mergeCells count="6">
    <mergeCell ref="A6:N6"/>
    <mergeCell ref="A21:N21"/>
    <mergeCell ref="A18:N18"/>
    <mergeCell ref="A15:N15"/>
    <mergeCell ref="A12:N12"/>
    <mergeCell ref="A9:N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Form responses 1</vt:lpstr>
      <vt:lpstr>Solution</vt:lpstr>
      <vt:lpstr>A</vt:lpstr>
      <vt:lpstr>B</vt:lpstr>
      <vt:lpstr>CC</vt:lpstr>
      <vt:lpstr>D</vt:lpstr>
      <vt:lpstr>E</vt:lpstr>
      <vt:lpstr>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Farina</dc:creator>
  <cp:lastModifiedBy>Angelo Farina</cp:lastModifiedBy>
  <dcterms:created xsi:type="dcterms:W3CDTF">2019-12-23T18:26:31Z</dcterms:created>
  <dcterms:modified xsi:type="dcterms:W3CDTF">2019-12-23T19:47:59Z</dcterms:modified>
</cp:coreProperties>
</file>