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rina\Corsi\Applied-Acoustics\Tests-2019\"/>
    </mc:Choice>
  </mc:AlternateContent>
  <bookViews>
    <workbookView xWindow="1860" yWindow="0" windowWidth="27870" windowHeight="12180"/>
  </bookViews>
  <sheets>
    <sheet name="Form responses 1" sheetId="1" r:id="rId1"/>
    <sheet name="Solution" sheetId="2" r:id="rId2"/>
  </sheets>
  <definedNames>
    <definedName name="A">Solution!$B$3</definedName>
    <definedName name="B">Solution!$C$3</definedName>
    <definedName name="CC">Solution!$D$3</definedName>
    <definedName name="D">Solution!$E$3</definedName>
    <definedName name="Delta">Solution!#REF!</definedName>
    <definedName name="E">Solution!$F$3</definedName>
    <definedName name="F">Solution!$G$3</definedName>
  </definedNames>
  <calcPr calcId="162913"/>
</workbook>
</file>

<file path=xl/calcChain.xml><?xml version="1.0" encoding="utf-8"?>
<calcChain xmlns="http://schemas.openxmlformats.org/spreadsheetml/2006/main">
  <c r="AA3" i="1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2" i="1"/>
  <c r="M32" i="2"/>
  <c r="M41" i="2"/>
  <c r="AM7" i="1" l="1"/>
  <c r="AM6" i="1"/>
  <c r="AL6" i="1"/>
  <c r="AL7" i="1"/>
  <c r="AI3" i="1"/>
  <c r="AK3" i="1"/>
  <c r="AI4" i="1"/>
  <c r="AK4" i="1"/>
  <c r="AI5" i="1"/>
  <c r="AK5" i="1"/>
  <c r="AI6" i="1"/>
  <c r="AI7" i="1"/>
  <c r="AI8" i="1"/>
  <c r="AK8" i="1" s="1"/>
  <c r="AI9" i="1"/>
  <c r="AK9" i="1"/>
  <c r="AI10" i="1"/>
  <c r="AK10" i="1"/>
  <c r="AI11" i="1"/>
  <c r="AK11" i="1"/>
  <c r="AI12" i="1"/>
  <c r="AK12" i="1"/>
  <c r="AI13" i="1"/>
  <c r="AK13" i="1"/>
  <c r="AI14" i="1"/>
  <c r="AK14" i="1" s="1"/>
  <c r="AI15" i="1"/>
  <c r="AK15" i="1"/>
  <c r="AI16" i="1"/>
  <c r="AK16" i="1"/>
  <c r="AI17" i="1"/>
  <c r="AK17" i="1"/>
  <c r="AI18" i="1"/>
  <c r="AK18" i="1"/>
  <c r="AI19" i="1"/>
  <c r="AK19" i="1"/>
  <c r="AI20" i="1"/>
  <c r="AK20" i="1"/>
  <c r="AI21" i="1"/>
  <c r="AK21" i="1"/>
  <c r="AI22" i="1"/>
  <c r="AK22" i="1"/>
  <c r="AI23" i="1"/>
  <c r="AK23" i="1"/>
  <c r="AI24" i="1"/>
  <c r="AK24" i="1"/>
  <c r="AI25" i="1"/>
  <c r="AK25" i="1"/>
  <c r="AI26" i="1"/>
  <c r="AK26" i="1" s="1"/>
  <c r="AI27" i="1"/>
  <c r="AK27" i="1"/>
  <c r="AI28" i="1"/>
  <c r="AI29" i="1"/>
  <c r="AK29" i="1"/>
  <c r="AI2" i="1"/>
  <c r="AK2" i="1"/>
  <c r="AE3" i="1"/>
  <c r="AG3" i="1"/>
  <c r="AE4" i="1"/>
  <c r="AG4" i="1"/>
  <c r="AE5" i="1"/>
  <c r="AG5" i="1"/>
  <c r="AE6" i="1"/>
  <c r="AE7" i="1"/>
  <c r="AE8" i="1"/>
  <c r="AG8" i="1" s="1"/>
  <c r="AE9" i="1"/>
  <c r="AG9" i="1"/>
  <c r="AE10" i="1"/>
  <c r="AG10" i="1"/>
  <c r="AE11" i="1"/>
  <c r="AG11" i="1" s="1"/>
  <c r="AE12" i="1"/>
  <c r="AG12" i="1"/>
  <c r="AE13" i="1"/>
  <c r="AG13" i="1"/>
  <c r="AE14" i="1"/>
  <c r="AG14" i="1" s="1"/>
  <c r="AE15" i="1"/>
  <c r="AG15" i="1"/>
  <c r="AE16" i="1"/>
  <c r="AG16" i="1"/>
  <c r="AE17" i="1"/>
  <c r="AG17" i="1" s="1"/>
  <c r="AE18" i="1"/>
  <c r="AG18" i="1"/>
  <c r="AE19" i="1"/>
  <c r="AG19" i="1"/>
  <c r="AE20" i="1"/>
  <c r="AG20" i="1" s="1"/>
  <c r="AE21" i="1"/>
  <c r="AG21" i="1"/>
  <c r="AE22" i="1"/>
  <c r="AG22" i="1"/>
  <c r="AE23" i="1"/>
  <c r="AG23" i="1"/>
  <c r="AE24" i="1"/>
  <c r="AG24" i="1"/>
  <c r="AE25" i="1"/>
  <c r="AG25" i="1"/>
  <c r="AE26" i="1"/>
  <c r="AG26" i="1" s="1"/>
  <c r="AE27" i="1"/>
  <c r="AG27" i="1"/>
  <c r="AE28" i="1"/>
  <c r="AG28" i="1"/>
  <c r="AE29" i="1"/>
  <c r="AG29" i="1"/>
  <c r="AE2" i="1"/>
  <c r="AG2" i="1"/>
  <c r="AC3" i="1"/>
  <c r="AC4" i="1"/>
  <c r="AC5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2" i="1"/>
  <c r="AC23" i="1"/>
  <c r="AC24" i="1"/>
  <c r="AC25" i="1"/>
  <c r="AC26" i="1"/>
  <c r="AC27" i="1"/>
  <c r="AC28" i="1"/>
  <c r="AC29" i="1"/>
  <c r="AC2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2" i="1"/>
  <c r="V9" i="1"/>
  <c r="V25" i="1"/>
  <c r="V27" i="1"/>
  <c r="V29" i="1"/>
  <c r="AL29" i="1" s="1"/>
  <c r="AM29" i="1" s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2" i="1"/>
  <c r="AL9" i="1" l="1"/>
  <c r="AM9" i="1" s="1"/>
  <c r="AL27" i="1"/>
  <c r="AM27" i="1" s="1"/>
  <c r="AL25" i="1"/>
  <c r="AM25" i="1" s="1"/>
  <c r="L55" i="2"/>
  <c r="K55" i="2"/>
  <c r="J55" i="2"/>
  <c r="I55" i="2"/>
  <c r="H55" i="2"/>
  <c r="G55" i="2"/>
  <c r="F55" i="2"/>
  <c r="E55" i="2"/>
  <c r="M48" i="2"/>
  <c r="J56" i="2"/>
  <c r="F54" i="2"/>
  <c r="F56" i="2" s="1"/>
  <c r="G54" i="2"/>
  <c r="G56" i="2" s="1"/>
  <c r="H54" i="2"/>
  <c r="H56" i="2" s="1"/>
  <c r="I54" i="2"/>
  <c r="I56" i="2" s="1"/>
  <c r="J54" i="2"/>
  <c r="K54" i="2"/>
  <c r="L54" i="2"/>
  <c r="E54" i="2"/>
  <c r="F48" i="2"/>
  <c r="G48" i="2"/>
  <c r="H48" i="2"/>
  <c r="I48" i="2"/>
  <c r="J48" i="2"/>
  <c r="K48" i="2"/>
  <c r="L48" i="2"/>
  <c r="E48" i="2"/>
  <c r="L49" i="2"/>
  <c r="L50" i="2" s="1"/>
  <c r="K49" i="2"/>
  <c r="K50" i="2" s="1"/>
  <c r="J49" i="2"/>
  <c r="J50" i="2" s="1"/>
  <c r="I49" i="2"/>
  <c r="I50" i="2" s="1"/>
  <c r="H49" i="2"/>
  <c r="H50" i="2" s="1"/>
  <c r="G49" i="2"/>
  <c r="G50" i="2" s="1"/>
  <c r="F49" i="2"/>
  <c r="F50" i="2" s="1"/>
  <c r="E49" i="2"/>
  <c r="E50" i="2" s="1"/>
  <c r="B42" i="2"/>
  <c r="E42" i="2"/>
  <c r="E41" i="2"/>
  <c r="B41" i="2"/>
  <c r="M36" i="2"/>
  <c r="E33" i="2"/>
  <c r="B33" i="2"/>
  <c r="B32" i="2"/>
  <c r="F2" i="1"/>
  <c r="G2" i="1" s="1"/>
  <c r="F3" i="1"/>
  <c r="G3" i="1"/>
  <c r="F4" i="1"/>
  <c r="G4" i="1" s="1"/>
  <c r="F5" i="1"/>
  <c r="G5" i="1" s="1"/>
  <c r="F6" i="1"/>
  <c r="G6" i="1" s="1"/>
  <c r="F7" i="1"/>
  <c r="G7" i="1" s="1"/>
  <c r="F8" i="1"/>
  <c r="G8" i="1"/>
  <c r="F9" i="1"/>
  <c r="G9" i="1" s="1"/>
  <c r="F10" i="1"/>
  <c r="G10" i="1" s="1"/>
  <c r="F11" i="1"/>
  <c r="G11" i="1" s="1"/>
  <c r="F12" i="1"/>
  <c r="F13" i="1"/>
  <c r="G13" i="1"/>
  <c r="F14" i="1"/>
  <c r="G14" i="1" s="1"/>
  <c r="F15" i="1"/>
  <c r="G15" i="1" s="1"/>
  <c r="F16" i="1"/>
  <c r="G16" i="1" s="1"/>
  <c r="H16" i="1" s="1"/>
  <c r="F17" i="1"/>
  <c r="G17" i="1" s="1"/>
  <c r="F18" i="1"/>
  <c r="G18" i="1"/>
  <c r="H18" i="1" s="1"/>
  <c r="F19" i="1"/>
  <c r="F20" i="1"/>
  <c r="G20" i="1" s="1"/>
  <c r="F21" i="1"/>
  <c r="G21" i="1" s="1"/>
  <c r="F22" i="1"/>
  <c r="G22" i="1" s="1"/>
  <c r="F23" i="1"/>
  <c r="G23" i="1"/>
  <c r="F24" i="1"/>
  <c r="G24" i="1" s="1"/>
  <c r="F25" i="1"/>
  <c r="G25" i="1" s="1"/>
  <c r="F26" i="1"/>
  <c r="G26" i="1" s="1"/>
  <c r="F27" i="1"/>
  <c r="G27" i="1" s="1"/>
  <c r="F28" i="1"/>
  <c r="G28" i="1"/>
  <c r="H28" i="1" s="1"/>
  <c r="F29" i="1"/>
  <c r="G29" i="1"/>
  <c r="H10" i="1" l="1"/>
  <c r="I10" i="1" s="1"/>
  <c r="I28" i="1"/>
  <c r="H8" i="1"/>
  <c r="H26" i="1"/>
  <c r="H2" i="1"/>
  <c r="I2" i="1" s="1"/>
  <c r="L56" i="2"/>
  <c r="K56" i="2"/>
  <c r="E56" i="2"/>
  <c r="M50" i="2"/>
  <c r="M49" i="2" s="1"/>
  <c r="I18" i="1"/>
  <c r="H22" i="1"/>
  <c r="I7" i="1"/>
  <c r="H4" i="1"/>
  <c r="I4" i="1" s="1"/>
  <c r="I16" i="1"/>
  <c r="H15" i="1"/>
  <c r="H29" i="1"/>
  <c r="I29" i="1" s="1"/>
  <c r="H14" i="1"/>
  <c r="I14" i="1" s="1"/>
  <c r="H7" i="1"/>
  <c r="H25" i="1"/>
  <c r="I25" i="1" s="1"/>
  <c r="H3" i="1"/>
  <c r="I3" i="1" s="1"/>
  <c r="H24" i="1"/>
  <c r="H13" i="1"/>
  <c r="H6" i="1"/>
  <c r="I6" i="1" s="1"/>
  <c r="H21" i="1"/>
  <c r="H17" i="1"/>
  <c r="I17" i="1" s="1"/>
  <c r="H20" i="1"/>
  <c r="I20" i="1" s="1"/>
  <c r="H11" i="1"/>
  <c r="I11" i="1" s="1"/>
  <c r="H27" i="1"/>
  <c r="I27" i="1" s="1"/>
  <c r="H9" i="1"/>
  <c r="I9" i="1" s="1"/>
  <c r="H23" i="1"/>
  <c r="J23" i="1" s="1"/>
  <c r="K23" i="1" s="1"/>
  <c r="V23" i="1" s="1"/>
  <c r="AL23" i="1" s="1"/>
  <c r="AM23" i="1" s="1"/>
  <c r="G19" i="1"/>
  <c r="G12" i="1"/>
  <c r="H12" i="1" s="1"/>
  <c r="I8" i="1"/>
  <c r="H5" i="1"/>
  <c r="I5" i="1" s="1"/>
  <c r="I15" i="1"/>
  <c r="I23" i="1"/>
  <c r="I21" i="1"/>
  <c r="J11" i="1" l="1"/>
  <c r="K11" i="1" s="1"/>
  <c r="J6" i="1"/>
  <c r="K6" i="1" s="1"/>
  <c r="X6" i="1"/>
  <c r="J10" i="1"/>
  <c r="X10" i="1" s="1"/>
  <c r="K10" i="1"/>
  <c r="V10" i="1" s="1"/>
  <c r="AL10" i="1" s="1"/>
  <c r="AM10" i="1" s="1"/>
  <c r="J8" i="1"/>
  <c r="K8" i="1" s="1"/>
  <c r="V8" i="1" s="1"/>
  <c r="AL8" i="1" s="1"/>
  <c r="AM8" i="1" s="1"/>
  <c r="X8" i="1"/>
  <c r="X4" i="1"/>
  <c r="J7" i="1"/>
  <c r="K7" i="1" s="1"/>
  <c r="X7" i="1"/>
  <c r="J28" i="1"/>
  <c r="I26" i="1"/>
  <c r="J26" i="1" s="1"/>
  <c r="K26" i="1" s="1"/>
  <c r="V26" i="1" s="1"/>
  <c r="AL26" i="1" s="1"/>
  <c r="AM26" i="1" s="1"/>
  <c r="K28" i="1"/>
  <c r="V28" i="1" s="1"/>
  <c r="AL28" i="1" s="1"/>
  <c r="AM28" i="1" s="1"/>
  <c r="J16" i="1"/>
  <c r="K16" i="1" s="1"/>
  <c r="X9" i="1"/>
  <c r="X23" i="1"/>
  <c r="X20" i="1"/>
  <c r="J15" i="1"/>
  <c r="K15" i="1" s="1"/>
  <c r="J17" i="1"/>
  <c r="X17" i="1"/>
  <c r="J2" i="1"/>
  <c r="I12" i="1"/>
  <c r="I22" i="1"/>
  <c r="I13" i="1"/>
  <c r="J13" i="1" s="1"/>
  <c r="K13" i="1" s="1"/>
  <c r="V13" i="1" s="1"/>
  <c r="AL13" i="1" s="1"/>
  <c r="AM13" i="1" s="1"/>
  <c r="J18" i="1"/>
  <c r="K18" i="1" s="1"/>
  <c r="V18" i="1" s="1"/>
  <c r="AL18" i="1" s="1"/>
  <c r="AM18" i="1" s="1"/>
  <c r="J9" i="1"/>
  <c r="K9" i="1" s="1"/>
  <c r="I24" i="1"/>
  <c r="M56" i="2"/>
  <c r="M55" i="2" s="1"/>
  <c r="J21" i="1"/>
  <c r="K21" i="1" s="1"/>
  <c r="V21" i="1" s="1"/>
  <c r="AL21" i="1" s="1"/>
  <c r="J14" i="1"/>
  <c r="K14" i="1" s="1"/>
  <c r="V14" i="1" s="1"/>
  <c r="AL14" i="1" s="1"/>
  <c r="AM14" i="1" s="1"/>
  <c r="J20" i="1"/>
  <c r="K20" i="1" s="1"/>
  <c r="V20" i="1" s="1"/>
  <c r="AL20" i="1" s="1"/>
  <c r="J4" i="1"/>
  <c r="K4" i="1" s="1"/>
  <c r="V4" i="1" s="1"/>
  <c r="AL4" i="1" s="1"/>
  <c r="AM4" i="1" s="1"/>
  <c r="J5" i="1"/>
  <c r="K5" i="1" s="1"/>
  <c r="V5" i="1" s="1"/>
  <c r="AL5" i="1" s="1"/>
  <c r="K17" i="1"/>
  <c r="V17" i="1" s="1"/>
  <c r="AL17" i="1" s="1"/>
  <c r="AM17" i="1" s="1"/>
  <c r="H19" i="1"/>
  <c r="J25" i="1"/>
  <c r="K25" i="1" s="1"/>
  <c r="J3" i="1"/>
  <c r="K3" i="1" s="1"/>
  <c r="V3" i="1" s="1"/>
  <c r="AL3" i="1" s="1"/>
  <c r="AM3" i="1" s="1"/>
  <c r="J27" i="1"/>
  <c r="K27" i="1" s="1"/>
  <c r="J29" i="1"/>
  <c r="K29" i="1" s="1"/>
  <c r="V16" i="1" l="1"/>
  <c r="AL16" i="1" s="1"/>
  <c r="AM16" i="1" s="1"/>
  <c r="X16" i="1"/>
  <c r="V11" i="1"/>
  <c r="AL11" i="1" s="1"/>
  <c r="AM11" i="1" s="1"/>
  <c r="X11" i="1"/>
  <c r="X2" i="1"/>
  <c r="V15" i="1"/>
  <c r="AL15" i="1" s="1"/>
  <c r="AM15" i="1" s="1"/>
  <c r="X15" i="1"/>
  <c r="X28" i="1"/>
  <c r="K2" i="1"/>
  <c r="V2" i="1" s="1"/>
  <c r="AL2" i="1" s="1"/>
  <c r="J12" i="1"/>
  <c r="K12" i="1" s="1"/>
  <c r="V12" i="1" s="1"/>
  <c r="AL12" i="1" s="1"/>
  <c r="AM12" i="1" s="1"/>
  <c r="X27" i="1"/>
  <c r="X13" i="1"/>
  <c r="X26" i="1"/>
  <c r="X14" i="1"/>
  <c r="X21" i="1"/>
  <c r="X3" i="1"/>
  <c r="X5" i="1"/>
  <c r="J24" i="1"/>
  <c r="X25" i="1"/>
  <c r="X29" i="1"/>
  <c r="X18" i="1"/>
  <c r="K24" i="1"/>
  <c r="V24" i="1" s="1"/>
  <c r="AL24" i="1" s="1"/>
  <c r="AM24" i="1" s="1"/>
  <c r="J22" i="1"/>
  <c r="K22" i="1" s="1"/>
  <c r="V22" i="1" s="1"/>
  <c r="AL22" i="1" s="1"/>
  <c r="AM22" i="1" s="1"/>
  <c r="I19" i="1"/>
  <c r="X12" i="1" l="1"/>
  <c r="X24" i="1"/>
  <c r="X22" i="1"/>
  <c r="J19" i="1"/>
  <c r="K19" i="1"/>
  <c r="V19" i="1" s="1"/>
  <c r="AL19" i="1" s="1"/>
  <c r="AM19" i="1" s="1"/>
  <c r="X19" i="1" l="1"/>
</calcChain>
</file>

<file path=xl/sharedStrings.xml><?xml version="1.0" encoding="utf-8"?>
<sst xmlns="http://schemas.openxmlformats.org/spreadsheetml/2006/main" count="456" uniqueCount="220">
  <si>
    <t>Timestamp</t>
  </si>
  <si>
    <t>Email address</t>
  </si>
  <si>
    <t>Surname and Name</t>
  </si>
  <si>
    <t>Matricula</t>
  </si>
  <si>
    <t>1) What is the difference between Sound Reduction Index R and Sound Insulation D?</t>
  </si>
  <si>
    <t>2) What is required for applying the tonal correction penalty to measurements performed according to Italian law?</t>
  </si>
  <si>
    <t>3) What is the relationship between the average sound pressure Lp measured inside a perfectly reverberant room and the power level Lw of the sound source?</t>
  </si>
  <si>
    <t>4) Compute the value of LA,eq,day at the end of a measurement from 06 to 22, during which the SPL was fluctuating around 60+F dB(A) for all the time, except for a short period of 1+E/10 hours, during which the SPL was 70+D dB(A).</t>
  </si>
  <si>
    <t>5) For measuring the absorption coefficient α of an absorbing material, a sample of 8+F/4 m² is placed inside a reverberant room, having a volume V=200+DE m³. This causes the reverberation time to drop from 6+E/10 s to 4+D/10s.</t>
  </si>
  <si>
    <t xml:space="preserve">6) Compute the value of Lep for a worker spending a daily period of 8+F/2 h inside a factory where the background noise level is 75+E dB(A) and there are 1+D short periods of 10 minutes each, during which the SPL is 83+F/4 dB(A). </t>
  </si>
  <si>
    <t>7) Compute the total SPL in dB(A) of a pink spectrum in octave bands ranging between 63 Hz and 8 kHz (8 octave bands). The SPL in each octave band is 70+F dB.</t>
  </si>
  <si>
    <t>8) Recompute the total SPL in dB(A) in the same case of previous exercise, after having installed a box around the source, made of panels weighting 70+E*3 kg/m².</t>
  </si>
  <si>
    <t>The value of Leq in one 1/3 octave band must exceed the adjacent ones by at least 5 dB</t>
  </si>
  <si>
    <t>84 dB(A)</t>
  </si>
  <si>
    <t>giorgio.lodigiani@studenti.unipr.it</t>
  </si>
  <si>
    <t>Lodigiani Giorgio</t>
  </si>
  <si>
    <t>R is measured in the lab, D is measured “in situ”</t>
  </si>
  <si>
    <t>The level of the 1/3 band of previous clause must hit the loudest isophonic curve on ISO 226 chart.</t>
  </si>
  <si>
    <t>Lw = Lp + 10*log10(S)-K2, where K2 = 10*log10(1+4*S/A)</t>
  </si>
  <si>
    <t>68.6 dB(A)</t>
  </si>
  <si>
    <t>82.1 dB(A)</t>
  </si>
  <si>
    <t>78.7 dB(A)</t>
  </si>
  <si>
    <t>37.5 dB(A)</t>
  </si>
  <si>
    <t>riccardo.brunori@studenti.unipr.it</t>
  </si>
  <si>
    <t>Brunori Riccardo</t>
  </si>
  <si>
    <t>The quantities are related by the formula D = L1-L2 = R + 10*log10(A2/S)</t>
  </si>
  <si>
    <t>65.4557 dB(A)</t>
  </si>
  <si>
    <t>0.303 s</t>
  </si>
  <si>
    <t>78.76 dB(A)</t>
  </si>
  <si>
    <t>80.984 dB(A)</t>
  </si>
  <si>
    <t>29.2 dB(A)</t>
  </si>
  <si>
    <t>fabian.difeliciantonio@studenti.unipr.it</t>
  </si>
  <si>
    <t>Di Feliciantonio Fabian</t>
  </si>
  <si>
    <t>66.3 dB(A)</t>
  </si>
  <si>
    <t>84.2 dB(A)</t>
  </si>
  <si>
    <t>82 dB(A)</t>
  </si>
  <si>
    <t>28.3 dB(A)</t>
  </si>
  <si>
    <t>francesco.bernardi1@studenti.unipr.it</t>
  </si>
  <si>
    <t>Bernardi Francesco</t>
  </si>
  <si>
    <t>D is simply the level difference between two adjacent rooms, while R has a correction for the reverberation time of the receiving room: R = D + 10*log10(T/T0), where T0 = 0.5 s.</t>
  </si>
  <si>
    <t>5.20717 dB(A)</t>
  </si>
  <si>
    <t>luca.zaccardi@studenti.unipr.it</t>
  </si>
  <si>
    <t>Zaccardi Luca</t>
  </si>
  <si>
    <t>64.4 db(A)</t>
  </si>
  <si>
    <t>77.1 db(A)</t>
  </si>
  <si>
    <t>78.9 db(A)</t>
  </si>
  <si>
    <t>27.9 db(A)</t>
  </si>
  <si>
    <t>francesca.aimi1@studenti.unipr.it</t>
  </si>
  <si>
    <t xml:space="preserve">Aimi Francesca </t>
  </si>
  <si>
    <t>69.7 dBA</t>
  </si>
  <si>
    <t>85.9 dBA</t>
  </si>
  <si>
    <t>85 dBA</t>
  </si>
  <si>
    <t>31.1 dBA</t>
  </si>
  <si>
    <t>enrico.zoboli@studenti.unipr.it</t>
  </si>
  <si>
    <t>Zoboli Enrico</t>
  </si>
  <si>
    <t>64.2 dB(A)</t>
  </si>
  <si>
    <t>76.6 dB(A)</t>
  </si>
  <si>
    <t>80 dB(A)</t>
  </si>
  <si>
    <t>29 dB(A)</t>
  </si>
  <si>
    <t>frankkija.charles@studenti.unipr.it</t>
  </si>
  <si>
    <t>CHARLES FRANK KIJA</t>
  </si>
  <si>
    <t>77.78 dB(A)</t>
  </si>
  <si>
    <t>79.987 dB(A)</t>
  </si>
  <si>
    <t>constantin.lozinschi@studenti.unipr.it</t>
  </si>
  <si>
    <t>Lozinschi Constantin</t>
  </si>
  <si>
    <t>Lw = Lp + 10*log10[A/4]</t>
  </si>
  <si>
    <t>70.41 dB(A)</t>
  </si>
  <si>
    <t>86 dB(A)</t>
  </si>
  <si>
    <t>83 dB(A)</t>
  </si>
  <si>
    <t>giulia.magnani3@studenti.unipr.it</t>
  </si>
  <si>
    <t>Magnani Giulia</t>
  </si>
  <si>
    <t>The three previous clauses must be verified simultaneously for applying the tonal correction penalty</t>
  </si>
  <si>
    <t>71.27 dB(A)</t>
  </si>
  <si>
    <t>84.88 dB(A)</t>
  </si>
  <si>
    <t>83.99 dB(A)</t>
  </si>
  <si>
    <t>30.42 dB(A)</t>
  </si>
  <si>
    <t>francesco.vetere@studenti.unipr.it</t>
  </si>
  <si>
    <t>Vetere Francesco</t>
  </si>
  <si>
    <t>67.23 dB(A)</t>
  </si>
  <si>
    <t>80.21 dB(A)</t>
  </si>
  <si>
    <t>82.99 dB(A)</t>
  </si>
  <si>
    <t>30.92 dB(A)</t>
  </si>
  <si>
    <t>behrang.mahmoudi@studenti.unipr.it</t>
  </si>
  <si>
    <t>Mahmoudi Behrang</t>
  </si>
  <si>
    <t>69.54 dB(A)</t>
  </si>
  <si>
    <t>80.2 dB(A)</t>
  </si>
  <si>
    <t>andrea.fois@studenti.unipr.it</t>
  </si>
  <si>
    <t>Fois Andrea</t>
  </si>
  <si>
    <t>69.23 dB(A)</t>
  </si>
  <si>
    <t>83.82 dB(A)</t>
  </si>
  <si>
    <t>76.98 dB(A)</t>
  </si>
  <si>
    <t>23.15 dB(A)</t>
  </si>
  <si>
    <t>anatolij.borroni@studenti.unipr.it</t>
  </si>
  <si>
    <t>Borroni Anatolij</t>
  </si>
  <si>
    <t>The value of Lmin,fast in one 1/3 octave band must exceed the adjacent ones by at least 5 dB</t>
  </si>
  <si>
    <t>64.4 dB(A)</t>
  </si>
  <si>
    <t>80.7 dB(A)</t>
  </si>
  <si>
    <t>77.0 dB(A)</t>
  </si>
  <si>
    <t>alice.bolzoni1@studenti.unipr.it</t>
  </si>
  <si>
    <t>Bolzoni Alice</t>
  </si>
  <si>
    <t>67.85 dB(A)</t>
  </si>
  <si>
    <t>83.0 dB(A)</t>
  </si>
  <si>
    <t>84.0 dB(A)</t>
  </si>
  <si>
    <t>matteo.cappelli@studenti.unipr.it</t>
  </si>
  <si>
    <t>CAPPELLI MATTEO</t>
  </si>
  <si>
    <t>75.1 dB(A)</t>
  </si>
  <si>
    <t>77.7 dB(A)</t>
  </si>
  <si>
    <t>susanna.parmigiani@studenti.unipr.it</t>
  </si>
  <si>
    <t>parmigiani susanna</t>
  </si>
  <si>
    <t>70 dB(A)</t>
  </si>
  <si>
    <t>80.3 dB(A)</t>
  </si>
  <si>
    <t>83.9 dB(A)</t>
  </si>
  <si>
    <t>michelangelo.federico@studenti.unipr.it</t>
  </si>
  <si>
    <t>Federico Michelangelo</t>
  </si>
  <si>
    <t>68.488 dB(A)</t>
  </si>
  <si>
    <t>84.8 dB(A)</t>
  </si>
  <si>
    <t>77.987 dB(A)</t>
  </si>
  <si>
    <t>francesco.masini@studenti.unipr.it</t>
  </si>
  <si>
    <t>Masini Francesco</t>
  </si>
  <si>
    <t>R is preferred, as it is always slightly larger than D</t>
  </si>
  <si>
    <t>69.11 dB(A)</t>
  </si>
  <si>
    <t>82.83 dB(A)</t>
  </si>
  <si>
    <t>71.80 dB(A)</t>
  </si>
  <si>
    <t>peninagreen.mbwilo@studenti.unipr.it</t>
  </si>
  <si>
    <t>MBWILO, PENINA</t>
  </si>
  <si>
    <t>84.59 dB(A)</t>
  </si>
  <si>
    <t>145.31dB(A)</t>
  </si>
  <si>
    <t>85.74 dB(A)</t>
  </si>
  <si>
    <t>venkatarakesh.yelloji@studenti.unipr.it</t>
  </si>
  <si>
    <t>yelloji venkata rakesh</t>
  </si>
  <si>
    <t>70.6948 dB(A)</t>
  </si>
  <si>
    <t>80.171 dB(A)</t>
  </si>
  <si>
    <t>89.7864 dB(A)</t>
  </si>
  <si>
    <t>salman.gazi@studenti.unipr.it</t>
  </si>
  <si>
    <t>GAZI SALMAN</t>
  </si>
  <si>
    <t>63.3514 dB(A)</t>
  </si>
  <si>
    <t>79.32 dB(A)</t>
  </si>
  <si>
    <t>lakshmivenkatasaikumarreddy.ganta@studenti.unipr.it</t>
  </si>
  <si>
    <t>Ganta Lakshmi Venkata Sai Kumar Reddy</t>
  </si>
  <si>
    <t>67.2458 dB(A)</t>
  </si>
  <si>
    <t>78.29 db(A)</t>
  </si>
  <si>
    <t>kristian.shaka@studenti.unipr.it</t>
  </si>
  <si>
    <t>Shaka Kristian</t>
  </si>
  <si>
    <t>65.5 db(A)</t>
  </si>
  <si>
    <t>tiziana.candela@studenti.unipr.it</t>
  </si>
  <si>
    <t>Candela Tiziana</t>
  </si>
  <si>
    <t>67.99 dB(A)</t>
  </si>
  <si>
    <t>30.7 dB(A)</t>
  </si>
  <si>
    <t>elisa.catellani@studenti.unipr.it</t>
  </si>
  <si>
    <t xml:space="preserve">Catellani Elisa </t>
  </si>
  <si>
    <t>84.9 dB(A)</t>
  </si>
  <si>
    <t>80.9 dB(A)</t>
  </si>
  <si>
    <t>76.4 dB(A)</t>
  </si>
  <si>
    <t>elisa.conti2@studenti.unipr.it</t>
  </si>
  <si>
    <t>Conti Elisa</t>
  </si>
  <si>
    <t>68.3 dB(A)</t>
  </si>
  <si>
    <t>83.2 dB(A)</t>
  </si>
  <si>
    <t>73.0 dB(A)</t>
  </si>
  <si>
    <t>20.0 dB(A)</t>
  </si>
  <si>
    <t>jayaprakashreddy.chinnamaru@studenti.unipr.it</t>
  </si>
  <si>
    <t xml:space="preserve">Chinnamaru jayaprakashreddy </t>
  </si>
  <si>
    <t>67.0553 db(A)</t>
  </si>
  <si>
    <t>84 db(A)</t>
  </si>
  <si>
    <t>A</t>
  </si>
  <si>
    <t>B</t>
  </si>
  <si>
    <t>C</t>
  </si>
  <si>
    <t>D</t>
  </si>
  <si>
    <t>E</t>
  </si>
  <si>
    <t>F</t>
  </si>
  <si>
    <t>Online bonus</t>
  </si>
  <si>
    <t>N.</t>
  </si>
  <si>
    <t>Solution of test - 15/11/2019 - Applied Acoustics</t>
  </si>
  <si>
    <t>(a single answer)</t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</si>
  <si>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There is no difference: they are the same thing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</si>
  <si>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R is measured in the lab, D is measured “in situ”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</si>
  <si>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R is preferred, as it is always slightly larger than D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</si>
  <si>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The quantities are related by the formula D = L1-L2 = R + 10*log10(A2/S)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</si>
  <si>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D is the “single number” rating of R, obtained positioning the ISO-717 reference curve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</si>
  <si>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D is simply the level difference between two adjacent rooms, while R has a correction for the reverberation time of the receiving room: R = D + 10*log10(T/T0), where T0 = 0.5 s.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</si>
  <si>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The value of Leq in one 1/3 octave band must exceed the adjacent ones by at least 5 dB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</si>
  <si>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The value of Lmin,fast in one 1/3 octave band must exceed the adjacent ones by at least 5 dB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</si>
  <si>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The level of the 1/3 band of previous clause must hit the loudest isophonic curve on ISO 226 chart.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</si>
  <si>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The presence of a pure tone must be persistent, continuous and clearly audible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</si>
  <si>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The three previous clauses must be verified simultaneously for applying the tonal correction penalty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</si>
  <si>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Lw = Lp + 11 + 20*log10(r)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</si>
  <si>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Lw = Lp + 11 + 20*log10(r) - 10*log10(Q)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</si>
  <si>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Lw = Lp + 10*log10[A/4]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</si>
  <si>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Lw = Lp + 10*log10(S)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</si>
  <si>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Calibri"/>
        <family val="2"/>
      </rPr>
      <t>Lw = Lp + 10*log10(S)-K</t>
    </r>
    <r>
      <rPr>
        <vertAlign val="subscript"/>
        <sz val="10"/>
        <color rgb="FF000000"/>
        <rFont val="Calibri"/>
        <family val="2"/>
      </rPr>
      <t>2</t>
    </r>
    <r>
      <rPr>
        <sz val="10"/>
        <color rgb="FF000000"/>
        <rFont val="Calibri"/>
        <family val="2"/>
      </rPr>
      <t>, where K</t>
    </r>
    <r>
      <rPr>
        <vertAlign val="subscript"/>
        <sz val="10"/>
        <color rgb="FF000000"/>
        <rFont val="Calibri"/>
        <family val="2"/>
      </rPr>
      <t>2</t>
    </r>
    <r>
      <rPr>
        <sz val="10"/>
        <color rgb="FF000000"/>
        <rFont val="Calibri"/>
        <family val="2"/>
      </rPr>
      <t xml:space="preserve"> = 10*log10(1+4*S/A)</t>
    </r>
  </si>
  <si>
    <r>
      <t>4) Compute the value of L</t>
    </r>
    <r>
      <rPr>
        <b/>
        <vertAlign val="subscript"/>
        <sz val="10"/>
        <color rgb="FF000000"/>
        <rFont val="Calibri"/>
        <family val="2"/>
      </rPr>
      <t>A,eq,day</t>
    </r>
    <r>
      <rPr>
        <b/>
        <sz val="10"/>
        <color rgb="FF000000"/>
        <rFont val="Calibri"/>
        <family val="2"/>
      </rPr>
      <t xml:space="preserve"> at the end of a measurement from 06 to 22, during which the SPL was fluctuating around 60+F dB(A) for all the time, except for a short period of 1+E/10 hours, during which the SPL was 70+D dB(A).</t>
    </r>
  </si>
  <si>
    <t>write number and measurement unit (with a space in between and no other spaces)</t>
  </si>
  <si>
    <t xml:space="preserve"> </t>
  </si>
  <si>
    <r>
      <t>6) Compute the value of L</t>
    </r>
    <r>
      <rPr>
        <b/>
        <vertAlign val="subscript"/>
        <sz val="10"/>
        <color rgb="FF000000"/>
        <rFont val="Calibri"/>
        <family val="2"/>
      </rPr>
      <t>ep</t>
    </r>
    <r>
      <rPr>
        <b/>
        <sz val="10"/>
        <color rgb="FF000000"/>
        <rFont val="Calibri"/>
        <family val="2"/>
      </rPr>
      <t xml:space="preserve"> for a worker spending a daily period of 8+F/2 h inside a factory where the background noise level is 75+E dB(A) and there are 1+D short periods of 10 minutes each, during which the SPL is 83+F/4 dB(A).</t>
    </r>
    <r>
      <rPr>
        <b/>
        <i/>
        <sz val="10"/>
        <color rgb="FF000000"/>
        <rFont val="Calibri"/>
        <family val="2"/>
      </rPr>
      <t xml:space="preserve"> </t>
    </r>
  </si>
  <si>
    <t>L0 =</t>
  </si>
  <si>
    <t>dB(A)</t>
  </si>
  <si>
    <t>T0 =</t>
  </si>
  <si>
    <t>h</t>
  </si>
  <si>
    <t>L1 =</t>
  </si>
  <si>
    <t>T1 =</t>
  </si>
  <si>
    <t>=</t>
  </si>
  <si>
    <t>dB</t>
  </si>
  <si>
    <t>Aw (dB)</t>
  </si>
  <si>
    <t>f (Hz)</t>
  </si>
  <si>
    <t>La (dBA)</t>
  </si>
  <si>
    <t>10^(La/10)</t>
  </si>
  <si>
    <t>L (dB)</t>
  </si>
  <si>
    <t>R = 20*log10(sigma*f)- 44 dB =</t>
  </si>
  <si>
    <t>Total</t>
  </si>
  <si>
    <t>Score</t>
  </si>
  <si>
    <t>Correct Answer</t>
  </si>
  <si>
    <t>Correct Unit</t>
  </si>
  <si>
    <t>Colour markings:</t>
  </si>
  <si>
    <t>format error or missing space (not error, this time)</t>
  </si>
  <si>
    <t>wrong measurement unit (error)</t>
  </si>
  <si>
    <t>Total Score</t>
  </si>
  <si>
    <t>modified after the deadline</t>
  </si>
  <si>
    <t>=&gt; 0</t>
  </si>
  <si>
    <t>If the total score is negative, it becomes zero</t>
  </si>
  <si>
    <t>Lep = 10*log10(((T0-T1)*10^(L0/10)+T1*10^(L1/10))/8) =</t>
  </si>
  <si>
    <t>La,eq,day = 10*log10(((T0-T1)*10^(L0/10)+T1*10^(L1/10))/16)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</si>
</sst>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/yyyy\ h:mm:ss"/>
    <numFmt numFmtId="165" formatCode="0.0"/>
    <numFmt numFmtId="166" formatCode="0.000"/>
  </numFmts>
  <fonts count="16" x14ac:knownFonts="1"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rgb="FF000000"/>
      <name val="Wingdings"/>
      <charset val="2"/>
    </font>
    <font>
      <sz val="7"/>
      <color rgb="FF000000"/>
      <name val="Times New Roman"/>
      <family val="1"/>
    </font>
    <font>
      <sz val="10"/>
      <color rgb="FF000000"/>
      <name val="Calibri"/>
      <family val="2"/>
    </font>
    <font>
      <vertAlign val="subscript"/>
      <sz val="10"/>
      <color rgb="FF000000"/>
      <name val="Calibri"/>
      <family val="2"/>
    </font>
    <font>
      <b/>
      <vertAlign val="subscript"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color rgb="FF008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4" borderId="0" xfId="0" applyFont="1" applyFill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indent="4"/>
    </xf>
    <xf numFmtId="0" fontId="11" fillId="0" borderId="0" xfId="0" applyFont="1" applyAlignment="1">
      <alignment vertical="center"/>
    </xf>
    <xf numFmtId="0" fontId="0" fillId="5" borderId="0" xfId="0" applyFont="1" applyFill="1" applyAlignment="1"/>
    <xf numFmtId="0" fontId="9" fillId="4" borderId="0" xfId="0" applyFont="1" applyFill="1" applyAlignment="1">
      <alignment horizontal="left" vertical="center" indent="4"/>
    </xf>
    <xf numFmtId="0" fontId="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5" fontId="5" fillId="0" borderId="4" xfId="0" applyNumberFormat="1" applyFont="1" applyBorder="1" applyAlignment="1"/>
    <xf numFmtId="0" fontId="5" fillId="0" borderId="5" xfId="0" applyFont="1" applyBorder="1" applyAlignment="1"/>
    <xf numFmtId="0" fontId="6" fillId="0" borderId="0" xfId="0" quotePrefix="1" applyFont="1" applyAlignment="1">
      <alignment horizontal="right"/>
    </xf>
    <xf numFmtId="166" fontId="5" fillId="0" borderId="3" xfId="0" applyNumberFormat="1" applyFont="1" applyBorder="1" applyAlignment="1"/>
    <xf numFmtId="0" fontId="6" fillId="0" borderId="0" xfId="0" applyFont="1" applyAlignment="1">
      <alignment horizontal="right"/>
    </xf>
    <xf numFmtId="2" fontId="0" fillId="0" borderId="0" xfId="0" applyNumberFormat="1" applyFont="1" applyAlignment="1"/>
    <xf numFmtId="0" fontId="3" fillId="2" borderId="1" xfId="0" applyFont="1" applyFill="1" applyBorder="1" applyAlignment="1">
      <alignment horizontal="left" vertical="center" wrapText="1"/>
    </xf>
    <xf numFmtId="165" fontId="15" fillId="0" borderId="2" xfId="0" applyNumberFormat="1" applyFont="1" applyBorder="1" applyAlignment="1">
      <alignment horizontal="center"/>
    </xf>
    <xf numFmtId="0" fontId="4" fillId="0" borderId="2" xfId="0" applyFont="1" applyBorder="1" applyAlignment="1"/>
    <xf numFmtId="0" fontId="5" fillId="0" borderId="0" xfId="0" applyFont="1" applyAlignment="1">
      <alignment horizontal="left"/>
    </xf>
    <xf numFmtId="0" fontId="6" fillId="5" borderId="0" xfId="0" applyFont="1" applyFill="1" applyAlignment="1"/>
    <xf numFmtId="0" fontId="6" fillId="6" borderId="0" xfId="0" applyFont="1" applyFill="1" applyAlignment="1"/>
    <xf numFmtId="0" fontId="0" fillId="6" borderId="0" xfId="0" applyFont="1" applyFill="1" applyAlignment="1"/>
    <xf numFmtId="0" fontId="6" fillId="7" borderId="0" xfId="0" applyFont="1" applyFill="1" applyAlignment="1">
      <alignment horizontal="left"/>
    </xf>
    <xf numFmtId="0" fontId="0" fillId="7" borderId="0" xfId="0" applyFont="1" applyFill="1" applyAlignment="1"/>
    <xf numFmtId="166" fontId="15" fillId="0" borderId="2" xfId="0" applyNumberFormat="1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164" fontId="1" fillId="0" borderId="2" xfId="0" applyNumberFormat="1" applyFont="1" applyBorder="1" applyAlignment="1"/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0" fillId="0" borderId="2" xfId="0" applyFont="1" applyBorder="1" applyAlignment="1"/>
    <xf numFmtId="0" fontId="1" fillId="6" borderId="2" xfId="0" applyFont="1" applyFill="1" applyBorder="1" applyAlignment="1"/>
    <xf numFmtId="0" fontId="1" fillId="7" borderId="2" xfId="0" applyFont="1" applyFill="1" applyBorder="1" applyAlignment="1"/>
    <xf numFmtId="0" fontId="0" fillId="0" borderId="10" xfId="0" applyFont="1" applyBorder="1" applyAlignment="1">
      <alignment horizontal="center"/>
    </xf>
    <xf numFmtId="164" fontId="1" fillId="5" borderId="11" xfId="0" applyNumberFormat="1" applyFont="1" applyFill="1" applyBorder="1" applyAlignment="1"/>
    <xf numFmtId="0" fontId="1" fillId="0" borderId="11" xfId="0" applyFont="1" applyBorder="1" applyAlignment="1"/>
    <xf numFmtId="0" fontId="1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left"/>
    </xf>
    <xf numFmtId="165" fontId="15" fillId="0" borderId="11" xfId="0" applyNumberFormat="1" applyFont="1" applyBorder="1" applyAlignment="1">
      <alignment horizontal="center"/>
    </xf>
    <xf numFmtId="0" fontId="4" fillId="0" borderId="11" xfId="0" applyFont="1" applyBorder="1" applyAlignment="1"/>
    <xf numFmtId="166" fontId="15" fillId="0" borderId="11" xfId="0" applyNumberFormat="1" applyFont="1" applyBorder="1" applyAlignment="1">
      <alignment horizontal="center"/>
    </xf>
    <xf numFmtId="0" fontId="1" fillId="7" borderId="11" xfId="0" applyFont="1" applyFill="1" applyBorder="1" applyAlignment="1"/>
    <xf numFmtId="0" fontId="0" fillId="0" borderId="11" xfId="0" applyFont="1" applyBorder="1" applyAlignment="1"/>
    <xf numFmtId="0" fontId="5" fillId="4" borderId="1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5" fillId="4" borderId="7" xfId="0" quotePrefix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2" fillId="0" borderId="2" xfId="0" applyFont="1" applyBorder="1" applyAlignment="1"/>
    <xf numFmtId="0" fontId="7" fillId="0" borderId="0" xfId="0" applyFont="1" applyAlignment="1">
      <alignment vertical="center"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27"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409575</xdr:colOff>
          <xdr:row>34</xdr:row>
          <xdr:rowOff>238125</xdr:rowOff>
        </xdr:from>
        <xdr:to>
          <xdr:col>11</xdr:col>
          <xdr:colOff>257175</xdr:colOff>
          <xdr:row>36</xdr:row>
          <xdr:rowOff>152400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M34"/>
  <sheetViews>
    <sheetView tabSelected="1" topLeftCell="S1" workbookViewId="0">
      <pane ySplit="1" topLeftCell="A2" activePane="bottomLeft" state="frozen"/>
      <selection pane="bottomLeft" activeCell="AA31" sqref="AA31"/>
    </sheetView>
  </sheetViews>
  <sheetFormatPr defaultColWidth="14.42578125" defaultRowHeight="15.75" customHeight="1" x14ac:dyDescent="0.2"/>
  <cols>
    <col min="1" max="1" width="4.140625" customWidth="1"/>
    <col min="2" max="2" width="16.85546875" customWidth="1"/>
    <col min="3" max="3" width="46.5703125" customWidth="1"/>
    <col min="4" max="4" width="35.85546875" customWidth="1"/>
    <col min="5" max="5" width="9.42578125" customWidth="1"/>
    <col min="6" max="11" width="2.85546875" customWidth="1"/>
    <col min="12" max="12" width="7.28515625" customWidth="1"/>
    <col min="13" max="13" width="21.5703125" customWidth="1"/>
    <col min="14" max="14" width="7" customWidth="1"/>
    <col min="15" max="15" width="21.5703125" customWidth="1"/>
    <col min="16" max="16" width="6.85546875" customWidth="1"/>
    <col min="17" max="17" width="22.7109375" customWidth="1"/>
    <col min="18" max="18" width="7.140625" customWidth="1"/>
    <col min="19" max="19" width="31.42578125" customWidth="1"/>
    <col min="20" max="20" width="8.42578125" customWidth="1"/>
    <col min="21" max="21" width="8.140625" customWidth="1"/>
    <col min="22" max="22" width="6.7109375" customWidth="1"/>
    <col min="23" max="23" width="29.85546875" customWidth="1"/>
    <col min="24" max="24" width="8" customWidth="1"/>
    <col min="25" max="25" width="7.28515625" customWidth="1"/>
    <col min="26" max="26" width="29" customWidth="1"/>
    <col min="27" max="27" width="8.28515625" customWidth="1"/>
    <col min="28" max="28" width="8.140625" customWidth="1"/>
    <col min="29" max="29" width="6.85546875" customWidth="1"/>
    <col min="30" max="30" width="21.5703125" customWidth="1"/>
    <col min="31" max="32" width="7.85546875" customWidth="1"/>
    <col min="33" max="33" width="6.5703125" customWidth="1"/>
    <col min="34" max="34" width="21.5703125" customWidth="1"/>
    <col min="35" max="36" width="7.5703125" customWidth="1"/>
    <col min="37" max="37" width="6.7109375" customWidth="1"/>
    <col min="38" max="38" width="7.7109375" customWidth="1"/>
    <col min="39" max="39" width="10.42578125" style="4" customWidth="1"/>
    <col min="40" max="40" width="21.5703125" customWidth="1"/>
  </cols>
  <sheetData>
    <row r="1" spans="1:39" ht="102" customHeight="1" x14ac:dyDescent="0.2">
      <c r="A1" s="34" t="s">
        <v>170</v>
      </c>
      <c r="B1" s="22" t="s">
        <v>0</v>
      </c>
      <c r="C1" s="22" t="s">
        <v>1</v>
      </c>
      <c r="D1" s="22" t="s">
        <v>2</v>
      </c>
      <c r="E1" s="22" t="s">
        <v>3</v>
      </c>
      <c r="F1" s="1" t="s">
        <v>163</v>
      </c>
      <c r="G1" s="1" t="s">
        <v>164</v>
      </c>
      <c r="H1" s="1" t="s">
        <v>165</v>
      </c>
      <c r="I1" s="1" t="s">
        <v>166</v>
      </c>
      <c r="J1" s="1" t="s">
        <v>167</v>
      </c>
      <c r="K1" s="1" t="s">
        <v>168</v>
      </c>
      <c r="L1" s="1" t="s">
        <v>169</v>
      </c>
      <c r="M1" s="22" t="s">
        <v>4</v>
      </c>
      <c r="N1" s="1" t="s">
        <v>208</v>
      </c>
      <c r="O1" s="22" t="s">
        <v>5</v>
      </c>
      <c r="P1" s="1" t="s">
        <v>208</v>
      </c>
      <c r="Q1" s="22" t="s">
        <v>6</v>
      </c>
      <c r="R1" s="1" t="s">
        <v>208</v>
      </c>
      <c r="S1" s="22" t="s">
        <v>7</v>
      </c>
      <c r="T1" s="1" t="s">
        <v>209</v>
      </c>
      <c r="U1" s="1" t="s">
        <v>210</v>
      </c>
      <c r="V1" s="1" t="s">
        <v>208</v>
      </c>
      <c r="W1" s="22" t="s">
        <v>8</v>
      </c>
      <c r="X1" s="1" t="s">
        <v>209</v>
      </c>
      <c r="Y1" s="1" t="s">
        <v>208</v>
      </c>
      <c r="Z1" s="22" t="s">
        <v>9</v>
      </c>
      <c r="AA1" s="1" t="s">
        <v>209</v>
      </c>
      <c r="AB1" s="1" t="s">
        <v>210</v>
      </c>
      <c r="AC1" s="1" t="s">
        <v>208</v>
      </c>
      <c r="AD1" s="22" t="s">
        <v>10</v>
      </c>
      <c r="AE1" s="1" t="s">
        <v>209</v>
      </c>
      <c r="AF1" s="1" t="s">
        <v>210</v>
      </c>
      <c r="AG1" s="1" t="s">
        <v>208</v>
      </c>
      <c r="AH1" s="22" t="s">
        <v>11</v>
      </c>
      <c r="AI1" s="1" t="s">
        <v>209</v>
      </c>
      <c r="AJ1" s="1" t="s">
        <v>210</v>
      </c>
      <c r="AK1" s="1" t="s">
        <v>208</v>
      </c>
      <c r="AL1" s="1" t="s">
        <v>214</v>
      </c>
      <c r="AM1" s="32" t="s">
        <v>217</v>
      </c>
    </row>
    <row r="2" spans="1:39" ht="12.75" x14ac:dyDescent="0.2">
      <c r="A2" s="35">
        <v>1</v>
      </c>
      <c r="B2" s="36">
        <v>43805.726939074069</v>
      </c>
      <c r="C2" s="37" t="s">
        <v>14</v>
      </c>
      <c r="D2" s="37" t="s">
        <v>15</v>
      </c>
      <c r="E2" s="38">
        <v>293860</v>
      </c>
      <c r="F2" s="2">
        <f t="shared" ref="F2:F29" si="0">INT(E2/100000)</f>
        <v>2</v>
      </c>
      <c r="G2" s="2">
        <f t="shared" ref="G2:G29" si="1">INT(($E2-100000*F2)/10000)</f>
        <v>9</v>
      </c>
      <c r="H2" s="2">
        <f t="shared" ref="H2:H29" si="2">INT(($E2-100000*F2-10000*G2)/1000)</f>
        <v>3</v>
      </c>
      <c r="I2" s="2">
        <f t="shared" ref="I2:I29" si="3">INT(($E2-100000*$F2-10000*$G2-1000*$H2)/100)</f>
        <v>8</v>
      </c>
      <c r="J2" s="2">
        <f t="shared" ref="J2:J29" si="4">INT(($E2-100000*$F2-10000*$G2-1000*$H2-100*$I2)/10)</f>
        <v>6</v>
      </c>
      <c r="K2" s="2">
        <f t="shared" ref="K2:K29" si="5">INT(($E2-100000*$F2-10000*$G2-1000*$H2-100*$I2-10*$J2))</f>
        <v>0</v>
      </c>
      <c r="L2" s="3">
        <v>2</v>
      </c>
      <c r="M2" s="37" t="s">
        <v>16</v>
      </c>
      <c r="N2" s="3">
        <f>IF(M2="The quantities are related by the formula D = L1-L2 = R + 10*log10(A2/S)",1,IF(M2="",0,-1))</f>
        <v>-1</v>
      </c>
      <c r="O2" s="37" t="s">
        <v>17</v>
      </c>
      <c r="P2" s="3">
        <f>IF(O2="The three previous clauses must be verified simultaneously for applying the tonal correction penalty",1,IF(O2="",0,-1))</f>
        <v>-1</v>
      </c>
      <c r="Q2" s="37" t="s">
        <v>18</v>
      </c>
      <c r="R2" s="3">
        <f>IF(Q2="Lw = Lp + 10*log10[A/4]",1,IF(Q2="",0,-1))</f>
        <v>-1</v>
      </c>
      <c r="S2" s="37" t="s">
        <v>19</v>
      </c>
      <c r="T2" s="23">
        <f>10*LOG10(((16-(1+J2/10))*10^((60+K2)/10)+(1+J2/10)*10^((70+I2)/10))/16)</f>
        <v>68.579095703992039</v>
      </c>
      <c r="U2" s="24" t="s">
        <v>194</v>
      </c>
      <c r="V2" s="3">
        <f>IF(S2="",0,IF(EXACT(RIGHT(S2,5),"dB(A)"),IF(ABS(VALUE(LEFT(S2,FIND(" ",S2,1)))-T2)&lt;=0.5,1,-1),-1))</f>
        <v>1</v>
      </c>
      <c r="W2" s="39"/>
      <c r="X2" s="31">
        <f>0.16*(200+I2*10+J2)/(8+K2/4)*(1/(4+I2/10)-1/(6+J2/10))</f>
        <v>0.32500000000000001</v>
      </c>
      <c r="Y2" s="3">
        <f>IF(W2="",0,IF(ABS(W2-X2)&lt;=0.1,1,-1))</f>
        <v>0</v>
      </c>
      <c r="Z2" s="37" t="s">
        <v>20</v>
      </c>
      <c r="AA2" s="23">
        <f>10*LOG10((((8+K2/2)-((1+I2)/6))*10^((75+J2)/10)+((1+I2)/6)*10^((83+K2/4)/10))/8)</f>
        <v>81.451928562441722</v>
      </c>
      <c r="AB2" s="24" t="s">
        <v>194</v>
      </c>
      <c r="AC2" s="3">
        <f>IF(Z2="",0,IF(EXACT(RIGHT(Z2,5),"dB(A)"),IF(ABS(VALUE(LEFT(Z2,FIND(" ",Z2,1)))-AA2)&lt;=0.5,1,-1),-1))</f>
        <v>-1</v>
      </c>
      <c r="AD2" s="37" t="s">
        <v>21</v>
      </c>
      <c r="AE2" s="23">
        <f>70+K2+6.99</f>
        <v>76.989999999999995</v>
      </c>
      <c r="AF2" s="24" t="s">
        <v>194</v>
      </c>
      <c r="AG2" s="3">
        <f>IF(AD2="",0,IF(EXACT(RIGHT(AD2,5),"dB(A)"),IF(ABS(VALUE(LEFT(AD2,FIND(" ",AD2,1)))-AE2)&lt;=0.5,1,-1),-1))</f>
        <v>-1</v>
      </c>
      <c r="AH2" s="37" t="s">
        <v>22</v>
      </c>
      <c r="AI2" s="23">
        <f>AE2-(20*LOG10((70+J2*3)*1000)-44)+1.89</f>
        <v>23.990346556996627</v>
      </c>
      <c r="AJ2" s="24" t="s">
        <v>194</v>
      </c>
      <c r="AK2" s="3">
        <f>IF(AH2="",0,IF(EXACT(RIGHT(AH2,5),"dB(A)"),IF(ABS(VALUE(LEFT(AH2,FIND(" ",AH2,1)))-AI2)&lt;=0.5,1,-1),-1))</f>
        <v>-1</v>
      </c>
      <c r="AL2" s="55">
        <f>L2+N2+P2+R2+V2+Y2+AC2+AG2+AK2</f>
        <v>-3</v>
      </c>
      <c r="AM2" s="56" t="s">
        <v>216</v>
      </c>
    </row>
    <row r="3" spans="1:39" ht="12.75" x14ac:dyDescent="0.2">
      <c r="A3" s="35">
        <v>2</v>
      </c>
      <c r="B3" s="36">
        <v>43805.729437743052</v>
      </c>
      <c r="C3" s="37" t="s">
        <v>23</v>
      </c>
      <c r="D3" s="37" t="s">
        <v>24</v>
      </c>
      <c r="E3" s="38">
        <v>266224</v>
      </c>
      <c r="F3" s="2">
        <f t="shared" si="0"/>
        <v>2</v>
      </c>
      <c r="G3" s="2">
        <f t="shared" si="1"/>
        <v>6</v>
      </c>
      <c r="H3" s="2">
        <f t="shared" si="2"/>
        <v>6</v>
      </c>
      <c r="I3" s="2">
        <f t="shared" si="3"/>
        <v>2</v>
      </c>
      <c r="J3" s="2">
        <f t="shared" si="4"/>
        <v>2</v>
      </c>
      <c r="K3" s="2">
        <f t="shared" si="5"/>
        <v>4</v>
      </c>
      <c r="L3" s="3">
        <v>2</v>
      </c>
      <c r="M3" s="37" t="s">
        <v>25</v>
      </c>
      <c r="N3" s="3">
        <f t="shared" ref="N3:N29" si="6">IF(M3="The quantities are related by the formula D = L1-L2 = R + 10*log10(A2/S)",1,IF(M3="",0,-1))</f>
        <v>1</v>
      </c>
      <c r="O3" s="37" t="s">
        <v>17</v>
      </c>
      <c r="P3" s="3">
        <f t="shared" ref="P3:P29" si="7">IF(O3="The three previous clauses must be verified simultaneously for applying the tonal correction penalty",1,IF(O3="",0,-1))</f>
        <v>-1</v>
      </c>
      <c r="Q3" s="37" t="s">
        <v>18</v>
      </c>
      <c r="R3" s="3">
        <f t="shared" ref="R3:R29" si="8">IF(Q3="Lw = Lp + 10*log10[A/4]",1,IF(Q3="",0,-1))</f>
        <v>-1</v>
      </c>
      <c r="S3" s="37" t="s">
        <v>26</v>
      </c>
      <c r="T3" s="23">
        <f t="shared" ref="T3:T29" si="9">10*LOG10(((16-(1+J3/10))*10^((60+K3)/10)+(1+J3/10)*10^((70+I3)/10))/16)</f>
        <v>65.455748913283031</v>
      </c>
      <c r="U3" s="24" t="s">
        <v>194</v>
      </c>
      <c r="V3" s="3">
        <f t="shared" ref="V3:V29" si="10">IF(S3="",0,IF(EXACT(RIGHT(S3,5),"dB(A)"),IF(ABS(VALUE(LEFT(S3,FIND(" ",S3,1)))-T3)&lt;=0.5,1,-1),-1))</f>
        <v>1</v>
      </c>
      <c r="W3" s="40" t="s">
        <v>27</v>
      </c>
      <c r="X3" s="31">
        <f t="shared" ref="X3:X29" si="11">0.16*(200+I3*10+J3)/(8+K3/4)*(1/(4+I3/10)-1/(6+J3/10))</f>
        <v>0.30312339989759346</v>
      </c>
      <c r="Y3" s="3">
        <v>0</v>
      </c>
      <c r="Z3" s="37" t="s">
        <v>28</v>
      </c>
      <c r="AA3" s="23">
        <f t="shared" ref="AA3:AA29" si="12">10*LOG10((((8+K3/2)-((1+I3)/6))*10^((75+J3)/10)+((1+I3)/6)*10^((83+K3/4)/10))/8)</f>
        <v>78.763060430240941</v>
      </c>
      <c r="AB3" s="24" t="s">
        <v>194</v>
      </c>
      <c r="AC3" s="3">
        <f t="shared" ref="AC3:AC29" si="13">IF(Z3="",0,IF(EXACT(RIGHT(Z3,5),"dB(A)"),IF(ABS(VALUE(LEFT(Z3,FIND(" ",Z3,1)))-AA3)&lt;=0.5,1,-1),-1))</f>
        <v>1</v>
      </c>
      <c r="AD3" s="37" t="s">
        <v>29</v>
      </c>
      <c r="AE3" s="23">
        <f t="shared" ref="AE3:AE29" si="14">70+K3+6.99</f>
        <v>80.989999999999995</v>
      </c>
      <c r="AF3" s="24" t="s">
        <v>194</v>
      </c>
      <c r="AG3" s="3">
        <f t="shared" ref="AG3:AG29" si="15">IF(AD3="",0,IF(EXACT(RIGHT(AD3,5),"dB(A)"),IF(ABS(VALUE(LEFT(AD3,FIND(" ",AD3,1)))-AE3)&lt;=0.5,1,-1),-1))</f>
        <v>1</v>
      </c>
      <c r="AH3" s="37" t="s">
        <v>30</v>
      </c>
      <c r="AI3" s="23">
        <f t="shared" ref="AI3:AI29" si="16">AE3-(20*LOG10((70+J3*3)*1000)-44)+1.89</f>
        <v>29.263728154384168</v>
      </c>
      <c r="AJ3" s="24" t="s">
        <v>194</v>
      </c>
      <c r="AK3" s="3">
        <f t="shared" ref="AK3:AK29" si="17">IF(AH3="",0,IF(EXACT(RIGHT(AH3,5),"dB(A)"),IF(ABS(VALUE(LEFT(AH3,FIND(" ",AH3,1)))-AI3)&lt;=0.5,1,-1),-1))</f>
        <v>1</v>
      </c>
      <c r="AL3" s="57">
        <f t="shared" ref="AL3:AL29" si="18">L3+N3+P3+R3+V3+Y3+AC3+AG3+AK3</f>
        <v>5</v>
      </c>
      <c r="AM3" s="33">
        <f>AL3</f>
        <v>5</v>
      </c>
    </row>
    <row r="4" spans="1:39" ht="12.75" x14ac:dyDescent="0.2">
      <c r="A4" s="35">
        <v>3</v>
      </c>
      <c r="B4" s="36">
        <v>43805.729507488424</v>
      </c>
      <c r="C4" s="37" t="s">
        <v>31</v>
      </c>
      <c r="D4" s="37" t="s">
        <v>32</v>
      </c>
      <c r="E4" s="38">
        <v>309185</v>
      </c>
      <c r="F4" s="2">
        <f t="shared" si="0"/>
        <v>3</v>
      </c>
      <c r="G4" s="2">
        <f t="shared" si="1"/>
        <v>0</v>
      </c>
      <c r="H4" s="2">
        <f t="shared" si="2"/>
        <v>9</v>
      </c>
      <c r="I4" s="2">
        <f t="shared" si="3"/>
        <v>1</v>
      </c>
      <c r="J4" s="2">
        <f t="shared" si="4"/>
        <v>8</v>
      </c>
      <c r="K4" s="2">
        <f t="shared" si="5"/>
        <v>5</v>
      </c>
      <c r="L4" s="3">
        <v>2</v>
      </c>
      <c r="M4" s="37" t="s">
        <v>25</v>
      </c>
      <c r="N4" s="3">
        <f t="shared" si="6"/>
        <v>1</v>
      </c>
      <c r="O4" s="37" t="s">
        <v>17</v>
      </c>
      <c r="P4" s="3">
        <f t="shared" si="7"/>
        <v>-1</v>
      </c>
      <c r="Q4" s="37" t="s">
        <v>18</v>
      </c>
      <c r="R4" s="3">
        <f t="shared" si="8"/>
        <v>-1</v>
      </c>
      <c r="S4" s="37" t="s">
        <v>33</v>
      </c>
      <c r="T4" s="23">
        <f t="shared" si="9"/>
        <v>66.256017996452186</v>
      </c>
      <c r="U4" s="24" t="s">
        <v>194</v>
      </c>
      <c r="V4" s="3">
        <f t="shared" si="10"/>
        <v>1</v>
      </c>
      <c r="W4" s="37">
        <v>0.37</v>
      </c>
      <c r="X4" s="31">
        <f t="shared" si="11"/>
        <v>0.36517895226647029</v>
      </c>
      <c r="Y4" s="3">
        <f t="shared" ref="Y4:Y29" si="19">IF(W4="",0,IF(ABS(W4-X4)&lt;=0.1,1,-1))</f>
        <v>1</v>
      </c>
      <c r="Z4" s="37" t="s">
        <v>34</v>
      </c>
      <c r="AA4" s="23">
        <f t="shared" si="12"/>
        <v>84.226734413318255</v>
      </c>
      <c r="AB4" s="24" t="s">
        <v>194</v>
      </c>
      <c r="AC4" s="3">
        <f t="shared" si="13"/>
        <v>1</v>
      </c>
      <c r="AD4" s="37" t="s">
        <v>35</v>
      </c>
      <c r="AE4" s="23">
        <f t="shared" si="14"/>
        <v>81.99</v>
      </c>
      <c r="AF4" s="24" t="s">
        <v>194</v>
      </c>
      <c r="AG4" s="3">
        <f t="shared" si="15"/>
        <v>1</v>
      </c>
      <c r="AH4" s="37" t="s">
        <v>36</v>
      </c>
      <c r="AI4" s="23">
        <f t="shared" si="16"/>
        <v>28.417442928006025</v>
      </c>
      <c r="AJ4" s="24" t="s">
        <v>194</v>
      </c>
      <c r="AK4" s="3">
        <f t="shared" si="17"/>
        <v>1</v>
      </c>
      <c r="AL4" s="57">
        <f t="shared" si="18"/>
        <v>6</v>
      </c>
      <c r="AM4" s="33">
        <f>AL4</f>
        <v>6</v>
      </c>
    </row>
    <row r="5" spans="1:39" ht="12.75" x14ac:dyDescent="0.2">
      <c r="A5" s="35">
        <v>4</v>
      </c>
      <c r="B5" s="36">
        <v>43805.732166481481</v>
      </c>
      <c r="C5" s="37" t="s">
        <v>37</v>
      </c>
      <c r="D5" s="37" t="s">
        <v>38</v>
      </c>
      <c r="E5" s="38">
        <v>306818</v>
      </c>
      <c r="F5" s="2">
        <f t="shared" si="0"/>
        <v>3</v>
      </c>
      <c r="G5" s="2">
        <f t="shared" si="1"/>
        <v>0</v>
      </c>
      <c r="H5" s="2">
        <f t="shared" si="2"/>
        <v>6</v>
      </c>
      <c r="I5" s="2">
        <f t="shared" si="3"/>
        <v>8</v>
      </c>
      <c r="J5" s="2">
        <f t="shared" si="4"/>
        <v>1</v>
      </c>
      <c r="K5" s="2">
        <f t="shared" si="5"/>
        <v>8</v>
      </c>
      <c r="L5" s="3">
        <v>2</v>
      </c>
      <c r="M5" s="37" t="s">
        <v>39</v>
      </c>
      <c r="N5" s="3">
        <f t="shared" si="6"/>
        <v>-1</v>
      </c>
      <c r="O5" s="37" t="s">
        <v>17</v>
      </c>
      <c r="P5" s="3">
        <f t="shared" si="7"/>
        <v>-1</v>
      </c>
      <c r="Q5" s="37" t="s">
        <v>18</v>
      </c>
      <c r="R5" s="3">
        <f t="shared" si="8"/>
        <v>-1</v>
      </c>
      <c r="S5" s="37" t="s">
        <v>40</v>
      </c>
      <c r="T5" s="23">
        <f t="shared" si="9"/>
        <v>70.091797814253283</v>
      </c>
      <c r="U5" s="24" t="s">
        <v>194</v>
      </c>
      <c r="V5" s="3">
        <f t="shared" si="10"/>
        <v>-1</v>
      </c>
      <c r="W5" s="37">
        <v>0.19961699999999999</v>
      </c>
      <c r="X5" s="31">
        <f t="shared" si="11"/>
        <v>0.19961748633879781</v>
      </c>
      <c r="Y5" s="3">
        <f t="shared" si="19"/>
        <v>1</v>
      </c>
      <c r="Z5" s="39"/>
      <c r="AA5" s="23">
        <f t="shared" si="12"/>
        <v>80.474472744109249</v>
      </c>
      <c r="AB5" s="24" t="s">
        <v>194</v>
      </c>
      <c r="AC5" s="3">
        <f t="shared" si="13"/>
        <v>0</v>
      </c>
      <c r="AD5" s="39"/>
      <c r="AE5" s="23">
        <f t="shared" si="14"/>
        <v>84.99</v>
      </c>
      <c r="AF5" s="24" t="s">
        <v>194</v>
      </c>
      <c r="AG5" s="3">
        <f t="shared" si="15"/>
        <v>0</v>
      </c>
      <c r="AH5" s="39"/>
      <c r="AI5" s="23">
        <f t="shared" si="16"/>
        <v>33.613542797590881</v>
      </c>
      <c r="AJ5" s="24" t="s">
        <v>194</v>
      </c>
      <c r="AK5" s="3">
        <f t="shared" si="17"/>
        <v>0</v>
      </c>
      <c r="AL5" s="55">
        <f t="shared" si="18"/>
        <v>-1</v>
      </c>
      <c r="AM5" s="56" t="s">
        <v>216</v>
      </c>
    </row>
    <row r="6" spans="1:39" ht="12.75" x14ac:dyDescent="0.2">
      <c r="A6" s="35">
        <v>5</v>
      </c>
      <c r="B6" s="36">
        <v>43805.733628032409</v>
      </c>
      <c r="C6" s="37" t="s">
        <v>41</v>
      </c>
      <c r="D6" s="37" t="s">
        <v>42</v>
      </c>
      <c r="E6" s="38">
        <v>265302</v>
      </c>
      <c r="F6" s="2">
        <f t="shared" si="0"/>
        <v>2</v>
      </c>
      <c r="G6" s="2">
        <f t="shared" si="1"/>
        <v>6</v>
      </c>
      <c r="H6" s="2">
        <f t="shared" si="2"/>
        <v>5</v>
      </c>
      <c r="I6" s="2">
        <f t="shared" si="3"/>
        <v>3</v>
      </c>
      <c r="J6" s="2">
        <f t="shared" si="4"/>
        <v>0</v>
      </c>
      <c r="K6" s="2">
        <f t="shared" si="5"/>
        <v>2</v>
      </c>
      <c r="L6" s="3">
        <v>2</v>
      </c>
      <c r="M6" s="37" t="s">
        <v>25</v>
      </c>
      <c r="N6" s="3">
        <f t="shared" si="6"/>
        <v>1</v>
      </c>
      <c r="O6" s="37" t="s">
        <v>17</v>
      </c>
      <c r="P6" s="3">
        <f t="shared" si="7"/>
        <v>-1</v>
      </c>
      <c r="Q6" s="37" t="s">
        <v>18</v>
      </c>
      <c r="R6" s="3">
        <f t="shared" si="8"/>
        <v>-1</v>
      </c>
      <c r="S6" s="41" t="s">
        <v>43</v>
      </c>
      <c r="T6" s="23">
        <f t="shared" si="9"/>
        <v>64.366199767271809</v>
      </c>
      <c r="U6" s="24" t="s">
        <v>194</v>
      </c>
      <c r="V6" s="3">
        <v>1</v>
      </c>
      <c r="W6" s="37">
        <v>0.28000000000000003</v>
      </c>
      <c r="X6" s="31">
        <f t="shared" si="11"/>
        <v>0.28527131782945742</v>
      </c>
      <c r="Y6" s="3">
        <f t="shared" si="19"/>
        <v>1</v>
      </c>
      <c r="Z6" s="41" t="s">
        <v>44</v>
      </c>
      <c r="AA6" s="23">
        <f t="shared" si="12"/>
        <v>77.126194159502475</v>
      </c>
      <c r="AB6" s="24" t="s">
        <v>194</v>
      </c>
      <c r="AC6" s="3">
        <v>1</v>
      </c>
      <c r="AD6" s="41" t="s">
        <v>45</v>
      </c>
      <c r="AE6" s="23">
        <f t="shared" si="14"/>
        <v>78.989999999999995</v>
      </c>
      <c r="AF6" s="24" t="s">
        <v>194</v>
      </c>
      <c r="AG6" s="3">
        <v>1</v>
      </c>
      <c r="AH6" s="41" t="s">
        <v>46</v>
      </c>
      <c r="AI6" s="23">
        <f t="shared" si="16"/>
        <v>27.978039199714857</v>
      </c>
      <c r="AJ6" s="24" t="s">
        <v>194</v>
      </c>
      <c r="AK6" s="3">
        <v>1</v>
      </c>
      <c r="AL6" s="57">
        <f t="shared" si="18"/>
        <v>6</v>
      </c>
      <c r="AM6" s="33">
        <f t="shared" ref="AM6:AM19" si="20">AL6</f>
        <v>6</v>
      </c>
    </row>
    <row r="7" spans="1:39" ht="12.75" x14ac:dyDescent="0.2">
      <c r="A7" s="35">
        <v>6</v>
      </c>
      <c r="B7" s="36">
        <v>43805.734228703703</v>
      </c>
      <c r="C7" s="37" t="s">
        <v>47</v>
      </c>
      <c r="D7" s="37" t="s">
        <v>48</v>
      </c>
      <c r="E7" s="38">
        <v>302598</v>
      </c>
      <c r="F7" s="2">
        <f t="shared" si="0"/>
        <v>3</v>
      </c>
      <c r="G7" s="2">
        <f t="shared" si="1"/>
        <v>0</v>
      </c>
      <c r="H7" s="2">
        <f t="shared" si="2"/>
        <v>2</v>
      </c>
      <c r="I7" s="2">
        <f t="shared" si="3"/>
        <v>5</v>
      </c>
      <c r="J7" s="2">
        <f t="shared" si="4"/>
        <v>9</v>
      </c>
      <c r="K7" s="2">
        <f t="shared" si="5"/>
        <v>8</v>
      </c>
      <c r="L7" s="3">
        <v>2</v>
      </c>
      <c r="M7" s="37" t="s">
        <v>25</v>
      </c>
      <c r="N7" s="3">
        <f t="shared" si="6"/>
        <v>1</v>
      </c>
      <c r="O7" s="37" t="s">
        <v>17</v>
      </c>
      <c r="P7" s="3">
        <f t="shared" si="7"/>
        <v>-1</v>
      </c>
      <c r="Q7" s="37" t="s">
        <v>18</v>
      </c>
      <c r="R7" s="3">
        <f t="shared" si="8"/>
        <v>-1</v>
      </c>
      <c r="S7" s="41" t="s">
        <v>49</v>
      </c>
      <c r="T7" s="23">
        <f t="shared" si="9"/>
        <v>69.692069310062109</v>
      </c>
      <c r="U7" s="24" t="s">
        <v>194</v>
      </c>
      <c r="V7" s="3">
        <v>1</v>
      </c>
      <c r="W7" s="37">
        <v>0.32</v>
      </c>
      <c r="X7" s="31">
        <f t="shared" si="11"/>
        <v>0.32030917874396131</v>
      </c>
      <c r="Y7" s="3">
        <f t="shared" si="19"/>
        <v>1</v>
      </c>
      <c r="Z7" s="41" t="s">
        <v>50</v>
      </c>
      <c r="AA7" s="23">
        <f t="shared" si="12"/>
        <v>85.853624156389131</v>
      </c>
      <c r="AB7" s="24" t="s">
        <v>194</v>
      </c>
      <c r="AC7" s="3">
        <v>1</v>
      </c>
      <c r="AD7" s="41" t="s">
        <v>51</v>
      </c>
      <c r="AE7" s="23">
        <f t="shared" si="14"/>
        <v>84.99</v>
      </c>
      <c r="AF7" s="24" t="s">
        <v>194</v>
      </c>
      <c r="AG7" s="3">
        <v>1</v>
      </c>
      <c r="AH7" s="41" t="s">
        <v>52</v>
      </c>
      <c r="AI7" s="23">
        <f t="shared" si="16"/>
        <v>31.144565314675091</v>
      </c>
      <c r="AJ7" s="24" t="s">
        <v>194</v>
      </c>
      <c r="AK7" s="3">
        <v>1</v>
      </c>
      <c r="AL7" s="57">
        <f t="shared" si="18"/>
        <v>6</v>
      </c>
      <c r="AM7" s="33">
        <f t="shared" si="20"/>
        <v>6</v>
      </c>
    </row>
    <row r="8" spans="1:39" ht="12.75" x14ac:dyDescent="0.2">
      <c r="A8" s="35">
        <v>7</v>
      </c>
      <c r="B8" s="36">
        <v>43805.73436938657</v>
      </c>
      <c r="C8" s="37" t="s">
        <v>53</v>
      </c>
      <c r="D8" s="37" t="s">
        <v>54</v>
      </c>
      <c r="E8" s="38">
        <v>283103</v>
      </c>
      <c r="F8" s="2">
        <f t="shared" si="0"/>
        <v>2</v>
      </c>
      <c r="G8" s="2">
        <f t="shared" si="1"/>
        <v>8</v>
      </c>
      <c r="H8" s="2">
        <f t="shared" si="2"/>
        <v>3</v>
      </c>
      <c r="I8" s="2">
        <f t="shared" si="3"/>
        <v>1</v>
      </c>
      <c r="J8" s="2">
        <f t="shared" si="4"/>
        <v>0</v>
      </c>
      <c r="K8" s="2">
        <f t="shared" si="5"/>
        <v>3</v>
      </c>
      <c r="L8" s="3">
        <v>2</v>
      </c>
      <c r="M8" s="37" t="s">
        <v>25</v>
      </c>
      <c r="N8" s="3">
        <f t="shared" si="6"/>
        <v>1</v>
      </c>
      <c r="O8" s="37" t="s">
        <v>17</v>
      </c>
      <c r="P8" s="3">
        <f t="shared" si="7"/>
        <v>-1</v>
      </c>
      <c r="Q8" s="37" t="s">
        <v>18</v>
      </c>
      <c r="R8" s="3">
        <f t="shared" si="8"/>
        <v>-1</v>
      </c>
      <c r="S8" s="37" t="s">
        <v>55</v>
      </c>
      <c r="T8" s="23">
        <f t="shared" si="9"/>
        <v>64.244547738427528</v>
      </c>
      <c r="U8" s="24" t="s">
        <v>194</v>
      </c>
      <c r="V8" s="3">
        <f t="shared" si="10"/>
        <v>1</v>
      </c>
      <c r="W8" s="37">
        <v>0.3</v>
      </c>
      <c r="X8" s="31">
        <f t="shared" si="11"/>
        <v>0.29658536585365869</v>
      </c>
      <c r="Y8" s="3">
        <f t="shared" si="19"/>
        <v>1</v>
      </c>
      <c r="Z8" s="37" t="s">
        <v>56</v>
      </c>
      <c r="AA8" s="23">
        <f t="shared" si="12"/>
        <v>76.638436754965227</v>
      </c>
      <c r="AB8" s="24" t="s">
        <v>194</v>
      </c>
      <c r="AC8" s="3">
        <f t="shared" si="13"/>
        <v>1</v>
      </c>
      <c r="AD8" s="37" t="s">
        <v>57</v>
      </c>
      <c r="AE8" s="23">
        <f t="shared" si="14"/>
        <v>79.989999999999995</v>
      </c>
      <c r="AF8" s="24" t="s">
        <v>194</v>
      </c>
      <c r="AG8" s="3">
        <f t="shared" si="15"/>
        <v>1</v>
      </c>
      <c r="AH8" s="37" t="s">
        <v>58</v>
      </c>
      <c r="AI8" s="23">
        <f t="shared" si="16"/>
        <v>28.978039199714857</v>
      </c>
      <c r="AJ8" s="24" t="s">
        <v>194</v>
      </c>
      <c r="AK8" s="3">
        <f t="shared" si="17"/>
        <v>1</v>
      </c>
      <c r="AL8" s="57">
        <f t="shared" si="18"/>
        <v>6</v>
      </c>
      <c r="AM8" s="33">
        <f t="shared" si="20"/>
        <v>6</v>
      </c>
    </row>
    <row r="9" spans="1:39" ht="12.75" x14ac:dyDescent="0.2">
      <c r="A9" s="35">
        <v>8</v>
      </c>
      <c r="B9" s="36">
        <v>43805.734678171299</v>
      </c>
      <c r="C9" s="37" t="s">
        <v>59</v>
      </c>
      <c r="D9" s="37" t="s">
        <v>60</v>
      </c>
      <c r="E9" s="38">
        <v>309623</v>
      </c>
      <c r="F9" s="2">
        <f t="shared" si="0"/>
        <v>3</v>
      </c>
      <c r="G9" s="2">
        <f t="shared" si="1"/>
        <v>0</v>
      </c>
      <c r="H9" s="2">
        <f t="shared" si="2"/>
        <v>9</v>
      </c>
      <c r="I9" s="2">
        <f t="shared" si="3"/>
        <v>6</v>
      </c>
      <c r="J9" s="2">
        <f t="shared" si="4"/>
        <v>2</v>
      </c>
      <c r="K9" s="2">
        <f t="shared" si="5"/>
        <v>3</v>
      </c>
      <c r="L9" s="3">
        <v>2</v>
      </c>
      <c r="M9" s="37" t="s">
        <v>25</v>
      </c>
      <c r="N9" s="3">
        <f t="shared" si="6"/>
        <v>1</v>
      </c>
      <c r="O9" s="37" t="s">
        <v>17</v>
      </c>
      <c r="P9" s="3">
        <f t="shared" si="7"/>
        <v>-1</v>
      </c>
      <c r="Q9" s="37" t="s">
        <v>18</v>
      </c>
      <c r="R9" s="3">
        <f t="shared" si="8"/>
        <v>-1</v>
      </c>
      <c r="S9" s="39"/>
      <c r="T9" s="23">
        <f t="shared" si="9"/>
        <v>66.840749204536877</v>
      </c>
      <c r="U9" s="24" t="s">
        <v>194</v>
      </c>
      <c r="V9" s="3">
        <f t="shared" si="10"/>
        <v>0</v>
      </c>
      <c r="W9" s="37">
        <v>0.26877000000000001</v>
      </c>
      <c r="X9" s="31">
        <f t="shared" si="11"/>
        <v>0.26877178922059719</v>
      </c>
      <c r="Y9" s="3">
        <f t="shared" si="19"/>
        <v>1</v>
      </c>
      <c r="Z9" s="37" t="s">
        <v>61</v>
      </c>
      <c r="AA9" s="23">
        <f t="shared" si="12"/>
        <v>79.384673700746291</v>
      </c>
      <c r="AB9" s="24" t="s">
        <v>194</v>
      </c>
      <c r="AC9" s="3">
        <f t="shared" si="13"/>
        <v>-1</v>
      </c>
      <c r="AD9" s="37" t="s">
        <v>62</v>
      </c>
      <c r="AE9" s="23">
        <f t="shared" si="14"/>
        <v>79.989999999999995</v>
      </c>
      <c r="AF9" s="24" t="s">
        <v>194</v>
      </c>
      <c r="AG9" s="3">
        <f t="shared" si="15"/>
        <v>1</v>
      </c>
      <c r="AH9" s="39"/>
      <c r="AI9" s="23">
        <f t="shared" si="16"/>
        <v>28.263728154384168</v>
      </c>
      <c r="AJ9" s="24" t="s">
        <v>194</v>
      </c>
      <c r="AK9" s="3">
        <f t="shared" si="17"/>
        <v>0</v>
      </c>
      <c r="AL9" s="57">
        <f t="shared" si="18"/>
        <v>2</v>
      </c>
      <c r="AM9" s="33">
        <f t="shared" si="20"/>
        <v>2</v>
      </c>
    </row>
    <row r="10" spans="1:39" ht="12.75" x14ac:dyDescent="0.2">
      <c r="A10" s="35">
        <v>9</v>
      </c>
      <c r="B10" s="36">
        <v>43805.735341168984</v>
      </c>
      <c r="C10" s="37" t="s">
        <v>63</v>
      </c>
      <c r="D10" s="37" t="s">
        <v>64</v>
      </c>
      <c r="E10" s="38">
        <v>313896</v>
      </c>
      <c r="F10" s="2">
        <f t="shared" si="0"/>
        <v>3</v>
      </c>
      <c r="G10" s="2">
        <f t="shared" si="1"/>
        <v>1</v>
      </c>
      <c r="H10" s="2">
        <f t="shared" si="2"/>
        <v>3</v>
      </c>
      <c r="I10" s="2">
        <f t="shared" si="3"/>
        <v>8</v>
      </c>
      <c r="J10" s="2">
        <f t="shared" si="4"/>
        <v>9</v>
      </c>
      <c r="K10" s="2">
        <f t="shared" si="5"/>
        <v>6</v>
      </c>
      <c r="L10" s="3">
        <v>2</v>
      </c>
      <c r="M10" s="37" t="s">
        <v>25</v>
      </c>
      <c r="N10" s="3">
        <f t="shared" si="6"/>
        <v>1</v>
      </c>
      <c r="O10" s="37" t="s">
        <v>17</v>
      </c>
      <c r="P10" s="3">
        <f t="shared" si="7"/>
        <v>-1</v>
      </c>
      <c r="Q10" s="37" t="s">
        <v>65</v>
      </c>
      <c r="R10" s="3">
        <f t="shared" si="8"/>
        <v>1</v>
      </c>
      <c r="S10" s="37" t="s">
        <v>66</v>
      </c>
      <c r="T10" s="23">
        <f t="shared" si="9"/>
        <v>70.414297133514182</v>
      </c>
      <c r="U10" s="24" t="s">
        <v>194</v>
      </c>
      <c r="V10" s="3">
        <f t="shared" si="10"/>
        <v>1</v>
      </c>
      <c r="W10" s="37">
        <v>0.308</v>
      </c>
      <c r="X10" s="31">
        <f t="shared" si="11"/>
        <v>0.30861937452326471</v>
      </c>
      <c r="Y10" s="3">
        <f t="shared" si="19"/>
        <v>1</v>
      </c>
      <c r="Z10" s="37" t="s">
        <v>67</v>
      </c>
      <c r="AA10" s="23">
        <f t="shared" si="12"/>
        <v>85.454694129210594</v>
      </c>
      <c r="AB10" s="24" t="s">
        <v>194</v>
      </c>
      <c r="AC10" s="3">
        <f t="shared" si="13"/>
        <v>-1</v>
      </c>
      <c r="AD10" s="37" t="s">
        <v>68</v>
      </c>
      <c r="AE10" s="23">
        <f t="shared" si="14"/>
        <v>82.99</v>
      </c>
      <c r="AF10" s="24" t="s">
        <v>194</v>
      </c>
      <c r="AG10" s="3">
        <f t="shared" si="15"/>
        <v>1</v>
      </c>
      <c r="AH10" s="39"/>
      <c r="AI10" s="23">
        <f t="shared" si="16"/>
        <v>29.144565314675091</v>
      </c>
      <c r="AJ10" s="24" t="s">
        <v>194</v>
      </c>
      <c r="AK10" s="3">
        <f t="shared" si="17"/>
        <v>0</v>
      </c>
      <c r="AL10" s="57">
        <f t="shared" si="18"/>
        <v>5</v>
      </c>
      <c r="AM10" s="33">
        <f t="shared" si="20"/>
        <v>5</v>
      </c>
    </row>
    <row r="11" spans="1:39" ht="12.75" x14ac:dyDescent="0.2">
      <c r="A11" s="35">
        <v>10</v>
      </c>
      <c r="B11" s="36">
        <v>43805.735513692125</v>
      </c>
      <c r="C11" s="37" t="s">
        <v>69</v>
      </c>
      <c r="D11" s="37" t="s">
        <v>70</v>
      </c>
      <c r="E11" s="38">
        <v>314987</v>
      </c>
      <c r="F11" s="2">
        <f t="shared" si="0"/>
        <v>3</v>
      </c>
      <c r="G11" s="2">
        <f t="shared" si="1"/>
        <v>1</v>
      </c>
      <c r="H11" s="2">
        <f t="shared" si="2"/>
        <v>4</v>
      </c>
      <c r="I11" s="2">
        <f t="shared" si="3"/>
        <v>9</v>
      </c>
      <c r="J11" s="2">
        <f t="shared" si="4"/>
        <v>8</v>
      </c>
      <c r="K11" s="2">
        <f t="shared" si="5"/>
        <v>7</v>
      </c>
      <c r="L11" s="3">
        <v>2</v>
      </c>
      <c r="M11" s="37" t="s">
        <v>25</v>
      </c>
      <c r="N11" s="3">
        <f t="shared" si="6"/>
        <v>1</v>
      </c>
      <c r="O11" s="37" t="s">
        <v>71</v>
      </c>
      <c r="P11" s="3">
        <f t="shared" si="7"/>
        <v>1</v>
      </c>
      <c r="Q11" s="37" t="s">
        <v>65</v>
      </c>
      <c r="R11" s="3">
        <f t="shared" si="8"/>
        <v>1</v>
      </c>
      <c r="S11" s="37" t="s">
        <v>72</v>
      </c>
      <c r="T11" s="23">
        <f t="shared" si="9"/>
        <v>71.265933696644424</v>
      </c>
      <c r="U11" s="24" t="s">
        <v>194</v>
      </c>
      <c r="V11" s="3">
        <f t="shared" si="10"/>
        <v>1</v>
      </c>
      <c r="W11" s="37">
        <v>0.26</v>
      </c>
      <c r="X11" s="31">
        <f t="shared" si="11"/>
        <v>0.27885615784775436</v>
      </c>
      <c r="Y11" s="3">
        <f t="shared" si="19"/>
        <v>1</v>
      </c>
      <c r="Z11" s="37" t="s">
        <v>73</v>
      </c>
      <c r="AA11" s="23">
        <f t="shared" si="12"/>
        <v>84.87769502660359</v>
      </c>
      <c r="AB11" s="24" t="s">
        <v>194</v>
      </c>
      <c r="AC11" s="3">
        <f t="shared" si="13"/>
        <v>1</v>
      </c>
      <c r="AD11" s="37" t="s">
        <v>74</v>
      </c>
      <c r="AE11" s="23">
        <f t="shared" si="14"/>
        <v>83.99</v>
      </c>
      <c r="AF11" s="24" t="s">
        <v>194</v>
      </c>
      <c r="AG11" s="3">
        <f t="shared" si="15"/>
        <v>1</v>
      </c>
      <c r="AH11" s="37" t="s">
        <v>75</v>
      </c>
      <c r="AI11" s="23">
        <f t="shared" si="16"/>
        <v>30.417442928006025</v>
      </c>
      <c r="AJ11" s="24" t="s">
        <v>194</v>
      </c>
      <c r="AK11" s="3">
        <f t="shared" si="17"/>
        <v>1</v>
      </c>
      <c r="AL11" s="57">
        <f t="shared" si="18"/>
        <v>10</v>
      </c>
      <c r="AM11" s="33">
        <f t="shared" si="20"/>
        <v>10</v>
      </c>
    </row>
    <row r="12" spans="1:39" ht="12.75" x14ac:dyDescent="0.2">
      <c r="A12" s="35">
        <v>11</v>
      </c>
      <c r="B12" s="36">
        <v>43805.735711631947</v>
      </c>
      <c r="C12" s="37" t="s">
        <v>76</v>
      </c>
      <c r="D12" s="37" t="s">
        <v>77</v>
      </c>
      <c r="E12" s="38">
        <v>313336</v>
      </c>
      <c r="F12" s="2">
        <f t="shared" si="0"/>
        <v>3</v>
      </c>
      <c r="G12" s="2">
        <f t="shared" si="1"/>
        <v>1</v>
      </c>
      <c r="H12" s="2">
        <f t="shared" si="2"/>
        <v>3</v>
      </c>
      <c r="I12" s="2">
        <f t="shared" si="3"/>
        <v>3</v>
      </c>
      <c r="J12" s="2">
        <f t="shared" si="4"/>
        <v>3</v>
      </c>
      <c r="K12" s="2">
        <f t="shared" si="5"/>
        <v>6</v>
      </c>
      <c r="L12" s="3">
        <v>2</v>
      </c>
      <c r="M12" s="37" t="s">
        <v>25</v>
      </c>
      <c r="N12" s="3">
        <f t="shared" si="6"/>
        <v>1</v>
      </c>
      <c r="O12" s="37" t="s">
        <v>71</v>
      </c>
      <c r="P12" s="3">
        <f t="shared" si="7"/>
        <v>1</v>
      </c>
      <c r="Q12" s="37" t="s">
        <v>65</v>
      </c>
      <c r="R12" s="3">
        <f t="shared" si="8"/>
        <v>1</v>
      </c>
      <c r="S12" s="37" t="s">
        <v>78</v>
      </c>
      <c r="T12" s="23">
        <f t="shared" si="9"/>
        <v>67.225319385757672</v>
      </c>
      <c r="U12" s="24" t="s">
        <v>194</v>
      </c>
      <c r="V12" s="3">
        <f t="shared" si="10"/>
        <v>1</v>
      </c>
      <c r="W12" s="37">
        <v>0.27500000000000002</v>
      </c>
      <c r="X12" s="31">
        <f t="shared" si="11"/>
        <v>0.28971653941054187</v>
      </c>
      <c r="Y12" s="3">
        <f t="shared" si="19"/>
        <v>1</v>
      </c>
      <c r="Z12" s="37" t="s">
        <v>79</v>
      </c>
      <c r="AA12" s="23">
        <f t="shared" si="12"/>
        <v>80.211280030644019</v>
      </c>
      <c r="AB12" s="24" t="s">
        <v>194</v>
      </c>
      <c r="AC12" s="3">
        <f t="shared" si="13"/>
        <v>1</v>
      </c>
      <c r="AD12" s="37" t="s">
        <v>80</v>
      </c>
      <c r="AE12" s="23">
        <f t="shared" si="14"/>
        <v>82.99</v>
      </c>
      <c r="AF12" s="24" t="s">
        <v>194</v>
      </c>
      <c r="AG12" s="3">
        <f t="shared" si="15"/>
        <v>1</v>
      </c>
      <c r="AH12" s="37" t="s">
        <v>81</v>
      </c>
      <c r="AI12" s="23">
        <f t="shared" si="16"/>
        <v>30.927458174191159</v>
      </c>
      <c r="AJ12" s="24" t="s">
        <v>194</v>
      </c>
      <c r="AK12" s="3">
        <f t="shared" si="17"/>
        <v>1</v>
      </c>
      <c r="AL12" s="57">
        <f t="shared" si="18"/>
        <v>10</v>
      </c>
      <c r="AM12" s="33">
        <f t="shared" si="20"/>
        <v>10</v>
      </c>
    </row>
    <row r="13" spans="1:39" ht="12.75" x14ac:dyDescent="0.2">
      <c r="A13" s="35">
        <v>12</v>
      </c>
      <c r="B13" s="36">
        <v>43805.735758854164</v>
      </c>
      <c r="C13" s="37" t="s">
        <v>82</v>
      </c>
      <c r="D13" s="37" t="s">
        <v>83</v>
      </c>
      <c r="E13" s="38">
        <v>298817</v>
      </c>
      <c r="F13" s="2">
        <f t="shared" si="0"/>
        <v>2</v>
      </c>
      <c r="G13" s="2">
        <f t="shared" si="1"/>
        <v>9</v>
      </c>
      <c r="H13" s="2">
        <f t="shared" si="2"/>
        <v>8</v>
      </c>
      <c r="I13" s="2">
        <f t="shared" si="3"/>
        <v>8</v>
      </c>
      <c r="J13" s="2">
        <f t="shared" si="4"/>
        <v>1</v>
      </c>
      <c r="K13" s="2">
        <f t="shared" si="5"/>
        <v>7</v>
      </c>
      <c r="L13" s="3">
        <v>2</v>
      </c>
      <c r="M13" s="37" t="s">
        <v>25</v>
      </c>
      <c r="N13" s="3">
        <f t="shared" si="6"/>
        <v>1</v>
      </c>
      <c r="O13" s="37" t="s">
        <v>17</v>
      </c>
      <c r="P13" s="3">
        <f t="shared" si="7"/>
        <v>-1</v>
      </c>
      <c r="Q13" s="37" t="s">
        <v>18</v>
      </c>
      <c r="R13" s="3">
        <f t="shared" si="8"/>
        <v>-1</v>
      </c>
      <c r="S13" s="37" t="s">
        <v>84</v>
      </c>
      <c r="T13" s="23">
        <f t="shared" si="9"/>
        <v>69.544903656663323</v>
      </c>
      <c r="U13" s="24" t="s">
        <v>194</v>
      </c>
      <c r="V13" s="3">
        <f t="shared" si="10"/>
        <v>1</v>
      </c>
      <c r="W13" s="37">
        <v>0.20200000000000001</v>
      </c>
      <c r="X13" s="31">
        <f t="shared" si="11"/>
        <v>0.20473588342440799</v>
      </c>
      <c r="Y13" s="3">
        <f t="shared" si="19"/>
        <v>1</v>
      </c>
      <c r="Z13" s="37" t="s">
        <v>85</v>
      </c>
      <c r="AA13" s="23">
        <f t="shared" si="12"/>
        <v>80.242365149105993</v>
      </c>
      <c r="AB13" s="24" t="s">
        <v>194</v>
      </c>
      <c r="AC13" s="3">
        <f t="shared" si="13"/>
        <v>1</v>
      </c>
      <c r="AD13" s="37" t="s">
        <v>13</v>
      </c>
      <c r="AE13" s="23">
        <f t="shared" si="14"/>
        <v>83.99</v>
      </c>
      <c r="AF13" s="24" t="s">
        <v>194</v>
      </c>
      <c r="AG13" s="3">
        <f t="shared" si="15"/>
        <v>1</v>
      </c>
      <c r="AH13" s="39"/>
      <c r="AI13" s="23">
        <f t="shared" si="16"/>
        <v>32.613542797590881</v>
      </c>
      <c r="AJ13" s="24" t="s">
        <v>194</v>
      </c>
      <c r="AK13" s="3">
        <f t="shared" si="17"/>
        <v>0</v>
      </c>
      <c r="AL13" s="57">
        <f t="shared" si="18"/>
        <v>5</v>
      </c>
      <c r="AM13" s="33">
        <f t="shared" si="20"/>
        <v>5</v>
      </c>
    </row>
    <row r="14" spans="1:39" ht="12.75" x14ac:dyDescent="0.2">
      <c r="A14" s="35">
        <v>13</v>
      </c>
      <c r="B14" s="36">
        <v>43805.735808148151</v>
      </c>
      <c r="C14" s="37" t="s">
        <v>86</v>
      </c>
      <c r="D14" s="37" t="s">
        <v>87</v>
      </c>
      <c r="E14" s="38">
        <v>313890</v>
      </c>
      <c r="F14" s="2">
        <f t="shared" si="0"/>
        <v>3</v>
      </c>
      <c r="G14" s="2">
        <f t="shared" si="1"/>
        <v>1</v>
      </c>
      <c r="H14" s="2">
        <f t="shared" si="2"/>
        <v>3</v>
      </c>
      <c r="I14" s="2">
        <f t="shared" si="3"/>
        <v>8</v>
      </c>
      <c r="J14" s="2">
        <f t="shared" si="4"/>
        <v>9</v>
      </c>
      <c r="K14" s="2">
        <f t="shared" si="5"/>
        <v>0</v>
      </c>
      <c r="L14" s="3">
        <v>2</v>
      </c>
      <c r="M14" s="37" t="s">
        <v>25</v>
      </c>
      <c r="N14" s="3">
        <f t="shared" si="6"/>
        <v>1</v>
      </c>
      <c r="O14" s="37" t="s">
        <v>71</v>
      </c>
      <c r="P14" s="3">
        <f t="shared" si="7"/>
        <v>1</v>
      </c>
      <c r="Q14" s="37" t="s">
        <v>65</v>
      </c>
      <c r="R14" s="3">
        <f t="shared" si="8"/>
        <v>1</v>
      </c>
      <c r="S14" s="37" t="s">
        <v>88</v>
      </c>
      <c r="T14" s="23">
        <f t="shared" si="9"/>
        <v>69.229261348369974</v>
      </c>
      <c r="U14" s="24" t="s">
        <v>194</v>
      </c>
      <c r="V14" s="3">
        <f t="shared" si="10"/>
        <v>1</v>
      </c>
      <c r="W14" s="37">
        <v>0.37</v>
      </c>
      <c r="X14" s="31">
        <f t="shared" si="11"/>
        <v>0.36648550724637685</v>
      </c>
      <c r="Y14" s="3">
        <f t="shared" si="19"/>
        <v>1</v>
      </c>
      <c r="Z14" s="37" t="s">
        <v>89</v>
      </c>
      <c r="AA14" s="23">
        <f t="shared" si="12"/>
        <v>83.829206255527822</v>
      </c>
      <c r="AB14" s="24" t="s">
        <v>194</v>
      </c>
      <c r="AC14" s="3">
        <f t="shared" si="13"/>
        <v>1</v>
      </c>
      <c r="AD14" s="37" t="s">
        <v>90</v>
      </c>
      <c r="AE14" s="23">
        <f t="shared" si="14"/>
        <v>76.989999999999995</v>
      </c>
      <c r="AF14" s="24" t="s">
        <v>194</v>
      </c>
      <c r="AG14" s="3">
        <f t="shared" si="15"/>
        <v>1</v>
      </c>
      <c r="AH14" s="37" t="s">
        <v>91</v>
      </c>
      <c r="AI14" s="23">
        <f t="shared" si="16"/>
        <v>23.144565314675091</v>
      </c>
      <c r="AJ14" s="24" t="s">
        <v>194</v>
      </c>
      <c r="AK14" s="3">
        <f t="shared" si="17"/>
        <v>1</v>
      </c>
      <c r="AL14" s="57">
        <f t="shared" si="18"/>
        <v>10</v>
      </c>
      <c r="AM14" s="33">
        <f t="shared" si="20"/>
        <v>10</v>
      </c>
    </row>
    <row r="15" spans="1:39" ht="12.75" x14ac:dyDescent="0.2">
      <c r="A15" s="35">
        <v>14</v>
      </c>
      <c r="B15" s="36">
        <v>43805.735968194444</v>
      </c>
      <c r="C15" s="37" t="s">
        <v>92</v>
      </c>
      <c r="D15" s="37" t="s">
        <v>93</v>
      </c>
      <c r="E15" s="38">
        <v>286350</v>
      </c>
      <c r="F15" s="2">
        <f t="shared" si="0"/>
        <v>2</v>
      </c>
      <c r="G15" s="2">
        <f t="shared" si="1"/>
        <v>8</v>
      </c>
      <c r="H15" s="2">
        <f t="shared" si="2"/>
        <v>6</v>
      </c>
      <c r="I15" s="2">
        <f t="shared" si="3"/>
        <v>3</v>
      </c>
      <c r="J15" s="2">
        <f t="shared" si="4"/>
        <v>5</v>
      </c>
      <c r="K15" s="2">
        <f t="shared" si="5"/>
        <v>0</v>
      </c>
      <c r="L15" s="3">
        <v>2</v>
      </c>
      <c r="M15" s="37" t="s">
        <v>25</v>
      </c>
      <c r="N15" s="3">
        <f t="shared" si="6"/>
        <v>1</v>
      </c>
      <c r="O15" s="37" t="s">
        <v>94</v>
      </c>
      <c r="P15" s="3">
        <f t="shared" si="7"/>
        <v>-1</v>
      </c>
      <c r="Q15" s="37" t="s">
        <v>65</v>
      </c>
      <c r="R15" s="3">
        <f t="shared" si="8"/>
        <v>1</v>
      </c>
      <c r="S15" s="37" t="s">
        <v>95</v>
      </c>
      <c r="T15" s="23">
        <f t="shared" si="9"/>
        <v>64.435459176026527</v>
      </c>
      <c r="U15" s="24" t="s">
        <v>194</v>
      </c>
      <c r="V15" s="3">
        <f t="shared" si="10"/>
        <v>1</v>
      </c>
      <c r="W15" s="39"/>
      <c r="X15" s="31">
        <f t="shared" si="11"/>
        <v>0.36994633273703037</v>
      </c>
      <c r="Y15" s="3">
        <f t="shared" si="19"/>
        <v>0</v>
      </c>
      <c r="Z15" s="37" t="s">
        <v>96</v>
      </c>
      <c r="AA15" s="23">
        <f t="shared" si="12"/>
        <v>80.346038042991182</v>
      </c>
      <c r="AB15" s="24" t="s">
        <v>194</v>
      </c>
      <c r="AC15" s="3">
        <f t="shared" si="13"/>
        <v>1</v>
      </c>
      <c r="AD15" s="37" t="s">
        <v>97</v>
      </c>
      <c r="AE15" s="23">
        <f t="shared" si="14"/>
        <v>76.989999999999995</v>
      </c>
      <c r="AF15" s="24" t="s">
        <v>194</v>
      </c>
      <c r="AG15" s="3">
        <f t="shared" si="15"/>
        <v>1</v>
      </c>
      <c r="AH15" s="39"/>
      <c r="AI15" s="23">
        <f t="shared" si="16"/>
        <v>24.291621485714131</v>
      </c>
      <c r="AJ15" s="24" t="s">
        <v>194</v>
      </c>
      <c r="AK15" s="3">
        <f t="shared" si="17"/>
        <v>0</v>
      </c>
      <c r="AL15" s="57">
        <f t="shared" si="18"/>
        <v>6</v>
      </c>
      <c r="AM15" s="33">
        <f t="shared" si="20"/>
        <v>6</v>
      </c>
    </row>
    <row r="16" spans="1:39" ht="12.75" x14ac:dyDescent="0.2">
      <c r="A16" s="35">
        <v>15</v>
      </c>
      <c r="B16" s="36">
        <v>43805.736164259259</v>
      </c>
      <c r="C16" s="37" t="s">
        <v>98</v>
      </c>
      <c r="D16" s="37" t="s">
        <v>99</v>
      </c>
      <c r="E16" s="38">
        <v>259267</v>
      </c>
      <c r="F16" s="2">
        <f t="shared" si="0"/>
        <v>2</v>
      </c>
      <c r="G16" s="2">
        <f t="shared" si="1"/>
        <v>5</v>
      </c>
      <c r="H16" s="2">
        <f t="shared" si="2"/>
        <v>9</v>
      </c>
      <c r="I16" s="2">
        <f t="shared" si="3"/>
        <v>2</v>
      </c>
      <c r="J16" s="2">
        <f t="shared" si="4"/>
        <v>6</v>
      </c>
      <c r="K16" s="2">
        <f t="shared" si="5"/>
        <v>7</v>
      </c>
      <c r="L16" s="3">
        <v>2</v>
      </c>
      <c r="M16" s="37" t="s">
        <v>25</v>
      </c>
      <c r="N16" s="3">
        <f t="shared" si="6"/>
        <v>1</v>
      </c>
      <c r="O16" s="37" t="s">
        <v>17</v>
      </c>
      <c r="P16" s="3">
        <f t="shared" si="7"/>
        <v>-1</v>
      </c>
      <c r="Q16" s="37" t="s">
        <v>65</v>
      </c>
      <c r="R16" s="3">
        <f t="shared" si="8"/>
        <v>1</v>
      </c>
      <c r="S16" s="37" t="s">
        <v>100</v>
      </c>
      <c r="T16" s="23">
        <f t="shared" si="9"/>
        <v>67.850149139675011</v>
      </c>
      <c r="U16" s="24" t="s">
        <v>194</v>
      </c>
      <c r="V16" s="3">
        <f t="shared" si="10"/>
        <v>1</v>
      </c>
      <c r="W16" s="37">
        <v>0.32</v>
      </c>
      <c r="X16" s="31">
        <f t="shared" si="11"/>
        <v>0.32110112110112105</v>
      </c>
      <c r="Y16" s="3">
        <f t="shared" si="19"/>
        <v>1</v>
      </c>
      <c r="Z16" s="37" t="s">
        <v>101</v>
      </c>
      <c r="AA16" s="23">
        <f t="shared" si="12"/>
        <v>82.827600264621054</v>
      </c>
      <c r="AB16" s="24" t="s">
        <v>194</v>
      </c>
      <c r="AC16" s="3">
        <f t="shared" si="13"/>
        <v>1</v>
      </c>
      <c r="AD16" s="37" t="s">
        <v>102</v>
      </c>
      <c r="AE16" s="23">
        <f t="shared" si="14"/>
        <v>83.99</v>
      </c>
      <c r="AF16" s="24" t="s">
        <v>194</v>
      </c>
      <c r="AG16" s="3">
        <f t="shared" si="15"/>
        <v>1</v>
      </c>
      <c r="AH16" s="39"/>
      <c r="AI16" s="23">
        <f t="shared" si="16"/>
        <v>30.990346556996627</v>
      </c>
      <c r="AJ16" s="24" t="s">
        <v>194</v>
      </c>
      <c r="AK16" s="3">
        <f t="shared" si="17"/>
        <v>0</v>
      </c>
      <c r="AL16" s="57">
        <f t="shared" si="18"/>
        <v>7</v>
      </c>
      <c r="AM16" s="33">
        <f t="shared" si="20"/>
        <v>7</v>
      </c>
    </row>
    <row r="17" spans="1:39" ht="12.75" x14ac:dyDescent="0.2">
      <c r="A17" s="35">
        <v>16</v>
      </c>
      <c r="B17" s="36">
        <v>43805.736518252314</v>
      </c>
      <c r="C17" s="37" t="s">
        <v>103</v>
      </c>
      <c r="D17" s="37" t="s">
        <v>104</v>
      </c>
      <c r="E17" s="38">
        <v>301743</v>
      </c>
      <c r="F17" s="2">
        <f t="shared" si="0"/>
        <v>3</v>
      </c>
      <c r="G17" s="2">
        <f t="shared" si="1"/>
        <v>0</v>
      </c>
      <c r="H17" s="2">
        <f t="shared" si="2"/>
        <v>1</v>
      </c>
      <c r="I17" s="2">
        <f t="shared" si="3"/>
        <v>7</v>
      </c>
      <c r="J17" s="2">
        <f t="shared" si="4"/>
        <v>4</v>
      </c>
      <c r="K17" s="2">
        <f t="shared" si="5"/>
        <v>3</v>
      </c>
      <c r="L17" s="3">
        <v>2</v>
      </c>
      <c r="M17" s="37" t="s">
        <v>25</v>
      </c>
      <c r="N17" s="3">
        <f t="shared" si="6"/>
        <v>1</v>
      </c>
      <c r="O17" s="37" t="s">
        <v>17</v>
      </c>
      <c r="P17" s="3">
        <f t="shared" si="7"/>
        <v>-1</v>
      </c>
      <c r="Q17" s="37" t="s">
        <v>18</v>
      </c>
      <c r="R17" s="3">
        <f t="shared" si="8"/>
        <v>-1</v>
      </c>
      <c r="S17" s="37" t="s">
        <v>105</v>
      </c>
      <c r="T17" s="23">
        <f t="shared" si="9"/>
        <v>67.928163308717416</v>
      </c>
      <c r="U17" s="24" t="s">
        <v>194</v>
      </c>
      <c r="V17" s="3">
        <f t="shared" si="10"/>
        <v>-1</v>
      </c>
      <c r="W17" s="37">
        <v>0.23499999999999999</v>
      </c>
      <c r="X17" s="31">
        <f t="shared" si="11"/>
        <v>0.28316109422492403</v>
      </c>
      <c r="Y17" s="3">
        <f t="shared" si="19"/>
        <v>1</v>
      </c>
      <c r="Z17" s="37" t="s">
        <v>106</v>
      </c>
      <c r="AA17" s="23">
        <f t="shared" si="12"/>
        <v>80.813853665229786</v>
      </c>
      <c r="AB17" s="24" t="s">
        <v>194</v>
      </c>
      <c r="AC17" s="3">
        <f t="shared" si="13"/>
        <v>-1</v>
      </c>
      <c r="AD17" s="37" t="s">
        <v>57</v>
      </c>
      <c r="AE17" s="23">
        <f t="shared" si="14"/>
        <v>79.989999999999995</v>
      </c>
      <c r="AF17" s="24" t="s">
        <v>194</v>
      </c>
      <c r="AG17" s="3">
        <f t="shared" si="15"/>
        <v>1</v>
      </c>
      <c r="AH17" s="39"/>
      <c r="AI17" s="23">
        <f t="shared" si="16"/>
        <v>27.603722952325654</v>
      </c>
      <c r="AJ17" s="24" t="s">
        <v>194</v>
      </c>
      <c r="AK17" s="3">
        <f t="shared" si="17"/>
        <v>0</v>
      </c>
      <c r="AL17" s="57">
        <f t="shared" si="18"/>
        <v>1</v>
      </c>
      <c r="AM17" s="33">
        <f t="shared" si="20"/>
        <v>1</v>
      </c>
    </row>
    <row r="18" spans="1:39" ht="12.75" x14ac:dyDescent="0.2">
      <c r="A18" s="35">
        <v>17</v>
      </c>
      <c r="B18" s="36">
        <v>43805.736529120375</v>
      </c>
      <c r="C18" s="37" t="s">
        <v>107</v>
      </c>
      <c r="D18" s="37" t="s">
        <v>108</v>
      </c>
      <c r="E18" s="38">
        <v>293917</v>
      </c>
      <c r="F18" s="2">
        <f t="shared" si="0"/>
        <v>2</v>
      </c>
      <c r="G18" s="2">
        <f t="shared" si="1"/>
        <v>9</v>
      </c>
      <c r="H18" s="2">
        <f t="shared" si="2"/>
        <v>3</v>
      </c>
      <c r="I18" s="2">
        <f t="shared" si="3"/>
        <v>9</v>
      </c>
      <c r="J18" s="2">
        <f t="shared" si="4"/>
        <v>1</v>
      </c>
      <c r="K18" s="2">
        <f t="shared" si="5"/>
        <v>7</v>
      </c>
      <c r="L18" s="3">
        <v>2</v>
      </c>
      <c r="M18" s="37" t="s">
        <v>25</v>
      </c>
      <c r="N18" s="3">
        <f t="shared" si="6"/>
        <v>1</v>
      </c>
      <c r="O18" s="37" t="s">
        <v>17</v>
      </c>
      <c r="P18" s="3">
        <f t="shared" si="7"/>
        <v>-1</v>
      </c>
      <c r="Q18" s="37" t="s">
        <v>18</v>
      </c>
      <c r="R18" s="3">
        <f t="shared" si="8"/>
        <v>-1</v>
      </c>
      <c r="S18" s="37" t="s">
        <v>109</v>
      </c>
      <c r="T18" s="23">
        <f t="shared" si="9"/>
        <v>70.055371023753963</v>
      </c>
      <c r="U18" s="24" t="s">
        <v>194</v>
      </c>
      <c r="V18" s="3">
        <f t="shared" si="10"/>
        <v>1</v>
      </c>
      <c r="W18" s="37">
        <v>0.22600000000000001</v>
      </c>
      <c r="X18" s="31">
        <f t="shared" si="11"/>
        <v>0.19171835190570538</v>
      </c>
      <c r="Y18" s="3">
        <f t="shared" si="19"/>
        <v>1</v>
      </c>
      <c r="Z18" s="37" t="s">
        <v>110</v>
      </c>
      <c r="AA18" s="23">
        <f t="shared" si="12"/>
        <v>80.458292728423118</v>
      </c>
      <c r="AB18" s="24" t="s">
        <v>194</v>
      </c>
      <c r="AC18" s="3">
        <f t="shared" si="13"/>
        <v>1</v>
      </c>
      <c r="AD18" s="37" t="s">
        <v>111</v>
      </c>
      <c r="AE18" s="23">
        <f t="shared" si="14"/>
        <v>83.99</v>
      </c>
      <c r="AF18" s="24" t="s">
        <v>194</v>
      </c>
      <c r="AG18" s="3">
        <f t="shared" si="15"/>
        <v>1</v>
      </c>
      <c r="AH18" s="39"/>
      <c r="AI18" s="23">
        <f t="shared" si="16"/>
        <v>32.613542797590881</v>
      </c>
      <c r="AJ18" s="24" t="s">
        <v>194</v>
      </c>
      <c r="AK18" s="3">
        <f t="shared" si="17"/>
        <v>0</v>
      </c>
      <c r="AL18" s="57">
        <f t="shared" si="18"/>
        <v>5</v>
      </c>
      <c r="AM18" s="33">
        <f t="shared" si="20"/>
        <v>5</v>
      </c>
    </row>
    <row r="19" spans="1:39" ht="12.75" x14ac:dyDescent="0.2">
      <c r="A19" s="35">
        <v>18</v>
      </c>
      <c r="B19" s="36">
        <v>43805.738013124996</v>
      </c>
      <c r="C19" s="37" t="s">
        <v>112</v>
      </c>
      <c r="D19" s="37" t="s">
        <v>113</v>
      </c>
      <c r="E19" s="38">
        <v>265791</v>
      </c>
      <c r="F19" s="2">
        <f t="shared" si="0"/>
        <v>2</v>
      </c>
      <c r="G19" s="2">
        <f t="shared" si="1"/>
        <v>6</v>
      </c>
      <c r="H19" s="2">
        <f t="shared" si="2"/>
        <v>5</v>
      </c>
      <c r="I19" s="2">
        <f t="shared" si="3"/>
        <v>7</v>
      </c>
      <c r="J19" s="2">
        <f t="shared" si="4"/>
        <v>9</v>
      </c>
      <c r="K19" s="2">
        <f t="shared" si="5"/>
        <v>1</v>
      </c>
      <c r="L19" s="3">
        <v>2</v>
      </c>
      <c r="M19" s="37" t="s">
        <v>25</v>
      </c>
      <c r="N19" s="3">
        <f t="shared" si="6"/>
        <v>1</v>
      </c>
      <c r="O19" s="37" t="s">
        <v>17</v>
      </c>
      <c r="P19" s="3">
        <f t="shared" si="7"/>
        <v>-1</v>
      </c>
      <c r="Q19" s="37" t="s">
        <v>65</v>
      </c>
      <c r="R19" s="3">
        <f t="shared" si="8"/>
        <v>1</v>
      </c>
      <c r="S19" s="37" t="s">
        <v>114</v>
      </c>
      <c r="T19" s="23">
        <f t="shared" si="9"/>
        <v>68.488678363883054</v>
      </c>
      <c r="U19" s="24" t="s">
        <v>194</v>
      </c>
      <c r="V19" s="3">
        <f t="shared" si="10"/>
        <v>1</v>
      </c>
      <c r="W19" s="37">
        <v>0.36699999999999999</v>
      </c>
      <c r="X19" s="31">
        <f t="shared" si="11"/>
        <v>0.36706753006475484</v>
      </c>
      <c r="Y19" s="3">
        <f t="shared" si="19"/>
        <v>1</v>
      </c>
      <c r="Z19" s="37" t="s">
        <v>115</v>
      </c>
      <c r="AA19" s="23">
        <f t="shared" si="12"/>
        <v>84.153873619700065</v>
      </c>
      <c r="AB19" s="24" t="s">
        <v>194</v>
      </c>
      <c r="AC19" s="3">
        <f t="shared" si="13"/>
        <v>-1</v>
      </c>
      <c r="AD19" s="37" t="s">
        <v>116</v>
      </c>
      <c r="AE19" s="23">
        <f t="shared" si="14"/>
        <v>77.989999999999995</v>
      </c>
      <c r="AF19" s="24" t="s">
        <v>194</v>
      </c>
      <c r="AG19" s="3">
        <f t="shared" si="15"/>
        <v>1</v>
      </c>
      <c r="AH19" s="39"/>
      <c r="AI19" s="23">
        <f t="shared" si="16"/>
        <v>24.144565314675091</v>
      </c>
      <c r="AJ19" s="24" t="s">
        <v>194</v>
      </c>
      <c r="AK19" s="3">
        <f t="shared" si="17"/>
        <v>0</v>
      </c>
      <c r="AL19" s="57">
        <f t="shared" si="18"/>
        <v>5</v>
      </c>
      <c r="AM19" s="33">
        <f t="shared" si="20"/>
        <v>5</v>
      </c>
    </row>
    <row r="20" spans="1:39" ht="12.75" x14ac:dyDescent="0.2">
      <c r="A20" s="35">
        <v>19</v>
      </c>
      <c r="B20" s="36">
        <v>43805.738359687501</v>
      </c>
      <c r="C20" s="37" t="s">
        <v>117</v>
      </c>
      <c r="D20" s="37" t="s">
        <v>118</v>
      </c>
      <c r="E20" s="38">
        <v>304079</v>
      </c>
      <c r="F20" s="2">
        <f t="shared" si="0"/>
        <v>3</v>
      </c>
      <c r="G20" s="2">
        <f t="shared" si="1"/>
        <v>0</v>
      </c>
      <c r="H20" s="2">
        <f t="shared" si="2"/>
        <v>4</v>
      </c>
      <c r="I20" s="2">
        <f t="shared" si="3"/>
        <v>0</v>
      </c>
      <c r="J20" s="2">
        <f t="shared" si="4"/>
        <v>7</v>
      </c>
      <c r="K20" s="2">
        <f t="shared" si="5"/>
        <v>9</v>
      </c>
      <c r="L20" s="3">
        <v>2</v>
      </c>
      <c r="M20" s="37" t="s">
        <v>119</v>
      </c>
      <c r="N20" s="3">
        <f t="shared" si="6"/>
        <v>-1</v>
      </c>
      <c r="O20" s="37" t="s">
        <v>17</v>
      </c>
      <c r="P20" s="3">
        <f t="shared" si="7"/>
        <v>-1</v>
      </c>
      <c r="Q20" s="37" t="s">
        <v>18</v>
      </c>
      <c r="R20" s="3">
        <f t="shared" si="8"/>
        <v>-1</v>
      </c>
      <c r="S20" s="37" t="s">
        <v>120</v>
      </c>
      <c r="T20" s="23">
        <f t="shared" si="9"/>
        <v>69.117864059392133</v>
      </c>
      <c r="U20" s="24" t="s">
        <v>194</v>
      </c>
      <c r="V20" s="3">
        <f t="shared" si="10"/>
        <v>1</v>
      </c>
      <c r="W20" s="37">
        <v>0.32550000000000001</v>
      </c>
      <c r="X20" s="31">
        <f t="shared" si="11"/>
        <v>0.32553330906443395</v>
      </c>
      <c r="Y20" s="3">
        <f t="shared" si="19"/>
        <v>1</v>
      </c>
      <c r="Z20" s="37" t="s">
        <v>121</v>
      </c>
      <c r="AA20" s="23">
        <f t="shared" si="12"/>
        <v>84.002203930668912</v>
      </c>
      <c r="AB20" s="24" t="s">
        <v>194</v>
      </c>
      <c r="AC20" s="3">
        <f t="shared" si="13"/>
        <v>-1</v>
      </c>
      <c r="AD20" s="37" t="s">
        <v>122</v>
      </c>
      <c r="AE20" s="23">
        <f t="shared" si="14"/>
        <v>85.99</v>
      </c>
      <c r="AF20" s="24" t="s">
        <v>194</v>
      </c>
      <c r="AG20" s="3">
        <f t="shared" si="15"/>
        <v>-1</v>
      </c>
      <c r="AH20" s="39"/>
      <c r="AI20" s="23">
        <f t="shared" si="16"/>
        <v>32.699172153578118</v>
      </c>
      <c r="AJ20" s="24" t="s">
        <v>194</v>
      </c>
      <c r="AK20" s="3">
        <f t="shared" si="17"/>
        <v>0</v>
      </c>
      <c r="AL20" s="55">
        <f t="shared" si="18"/>
        <v>-1</v>
      </c>
      <c r="AM20" s="56" t="s">
        <v>216</v>
      </c>
    </row>
    <row r="21" spans="1:39" ht="12.75" x14ac:dyDescent="0.2">
      <c r="A21" s="35">
        <v>20</v>
      </c>
      <c r="B21" s="36">
        <v>43805.738513391203</v>
      </c>
      <c r="C21" s="37" t="s">
        <v>123</v>
      </c>
      <c r="D21" s="37" t="s">
        <v>124</v>
      </c>
      <c r="E21" s="38">
        <v>309625</v>
      </c>
      <c r="F21" s="2">
        <f t="shared" si="0"/>
        <v>3</v>
      </c>
      <c r="G21" s="2">
        <f t="shared" si="1"/>
        <v>0</v>
      </c>
      <c r="H21" s="2">
        <f t="shared" si="2"/>
        <v>9</v>
      </c>
      <c r="I21" s="2">
        <f t="shared" si="3"/>
        <v>6</v>
      </c>
      <c r="J21" s="2">
        <f t="shared" si="4"/>
        <v>2</v>
      </c>
      <c r="K21" s="2">
        <f t="shared" si="5"/>
        <v>5</v>
      </c>
      <c r="L21" s="3">
        <v>2</v>
      </c>
      <c r="M21" s="37" t="s">
        <v>25</v>
      </c>
      <c r="N21" s="3">
        <f t="shared" si="6"/>
        <v>1</v>
      </c>
      <c r="O21" s="37" t="s">
        <v>12</v>
      </c>
      <c r="P21" s="3">
        <f t="shared" si="7"/>
        <v>-1</v>
      </c>
      <c r="Q21" s="37" t="s">
        <v>18</v>
      </c>
      <c r="R21" s="3">
        <f t="shared" si="8"/>
        <v>-1</v>
      </c>
      <c r="S21" s="37" t="s">
        <v>125</v>
      </c>
      <c r="T21" s="23">
        <f t="shared" si="9"/>
        <v>67.716543919678017</v>
      </c>
      <c r="U21" s="24" t="s">
        <v>194</v>
      </c>
      <c r="V21" s="3">
        <f t="shared" si="10"/>
        <v>-1</v>
      </c>
      <c r="W21" s="37">
        <v>-9.2999999999999999E-2</v>
      </c>
      <c r="X21" s="31">
        <f t="shared" si="11"/>
        <v>0.25424358439786221</v>
      </c>
      <c r="Y21" s="3">
        <f t="shared" si="19"/>
        <v>-1</v>
      </c>
      <c r="Z21" s="41" t="s">
        <v>126</v>
      </c>
      <c r="AA21" s="23">
        <f t="shared" si="12"/>
        <v>79.879971515682897</v>
      </c>
      <c r="AB21" s="24" t="s">
        <v>194</v>
      </c>
      <c r="AC21" s="3">
        <v>-1</v>
      </c>
      <c r="AD21" s="37" t="s">
        <v>127</v>
      </c>
      <c r="AE21" s="23">
        <f t="shared" si="14"/>
        <v>81.99</v>
      </c>
      <c r="AF21" s="24" t="s">
        <v>194</v>
      </c>
      <c r="AG21" s="3">
        <f t="shared" si="15"/>
        <v>-1</v>
      </c>
      <c r="AH21" s="39"/>
      <c r="AI21" s="23">
        <f t="shared" si="16"/>
        <v>30.263728154384168</v>
      </c>
      <c r="AJ21" s="24" t="s">
        <v>194</v>
      </c>
      <c r="AK21" s="3">
        <f t="shared" si="17"/>
        <v>0</v>
      </c>
      <c r="AL21" s="55">
        <f t="shared" si="18"/>
        <v>-3</v>
      </c>
      <c r="AM21" s="56" t="s">
        <v>216</v>
      </c>
    </row>
    <row r="22" spans="1:39" ht="12.75" x14ac:dyDescent="0.2">
      <c r="A22" s="35">
        <v>21</v>
      </c>
      <c r="B22" s="36">
        <v>43805.739651215277</v>
      </c>
      <c r="C22" s="37" t="s">
        <v>128</v>
      </c>
      <c r="D22" s="37" t="s">
        <v>129</v>
      </c>
      <c r="E22" s="38">
        <v>300839</v>
      </c>
      <c r="F22" s="2">
        <f t="shared" si="0"/>
        <v>3</v>
      </c>
      <c r="G22" s="2">
        <f t="shared" si="1"/>
        <v>0</v>
      </c>
      <c r="H22" s="2">
        <f t="shared" si="2"/>
        <v>0</v>
      </c>
      <c r="I22" s="2">
        <f t="shared" si="3"/>
        <v>8</v>
      </c>
      <c r="J22" s="2">
        <f t="shared" si="4"/>
        <v>3</v>
      </c>
      <c r="K22" s="2">
        <f t="shared" si="5"/>
        <v>9</v>
      </c>
      <c r="L22" s="3">
        <v>2</v>
      </c>
      <c r="M22" s="37" t="s">
        <v>25</v>
      </c>
      <c r="N22" s="3">
        <f t="shared" si="6"/>
        <v>1</v>
      </c>
      <c r="O22" s="37" t="s">
        <v>17</v>
      </c>
      <c r="P22" s="3">
        <f t="shared" si="7"/>
        <v>-1</v>
      </c>
      <c r="Q22" s="37" t="s">
        <v>18</v>
      </c>
      <c r="R22" s="3">
        <f t="shared" si="8"/>
        <v>-1</v>
      </c>
      <c r="S22" s="37" t="s">
        <v>130</v>
      </c>
      <c r="T22" s="23">
        <f t="shared" si="9"/>
        <v>70.942760918873603</v>
      </c>
      <c r="U22" s="24" t="s">
        <v>194</v>
      </c>
      <c r="V22" s="3">
        <f t="shared" si="10"/>
        <v>1</v>
      </c>
      <c r="W22" s="37">
        <v>0.219</v>
      </c>
      <c r="X22" s="31">
        <f t="shared" si="11"/>
        <v>0.21912504839334118</v>
      </c>
      <c r="Y22" s="3">
        <f t="shared" si="19"/>
        <v>1</v>
      </c>
      <c r="Z22" s="37" t="s">
        <v>131</v>
      </c>
      <c r="AA22" s="23">
        <f t="shared" si="12"/>
        <v>81.748231651934361</v>
      </c>
      <c r="AB22" s="24" t="s">
        <v>194</v>
      </c>
      <c r="AC22" s="3">
        <f t="shared" si="13"/>
        <v>-1</v>
      </c>
      <c r="AD22" s="37" t="s">
        <v>132</v>
      </c>
      <c r="AE22" s="23">
        <f t="shared" si="14"/>
        <v>85.99</v>
      </c>
      <c r="AF22" s="24" t="s">
        <v>194</v>
      </c>
      <c r="AG22" s="3">
        <f t="shared" si="15"/>
        <v>-1</v>
      </c>
      <c r="AH22" s="39"/>
      <c r="AI22" s="23">
        <f t="shared" si="16"/>
        <v>33.927458174191159</v>
      </c>
      <c r="AJ22" s="24" t="s">
        <v>194</v>
      </c>
      <c r="AK22" s="3">
        <f t="shared" si="17"/>
        <v>0</v>
      </c>
      <c r="AL22" s="57">
        <f t="shared" si="18"/>
        <v>1</v>
      </c>
      <c r="AM22" s="33">
        <f t="shared" ref="AM22:AM29" si="21">AL22</f>
        <v>1</v>
      </c>
    </row>
    <row r="23" spans="1:39" ht="12.75" x14ac:dyDescent="0.2">
      <c r="A23" s="35">
        <v>22</v>
      </c>
      <c r="B23" s="36">
        <v>43805.739807696758</v>
      </c>
      <c r="C23" s="37" t="s">
        <v>133</v>
      </c>
      <c r="D23" s="37" t="s">
        <v>134</v>
      </c>
      <c r="E23" s="38">
        <v>300032</v>
      </c>
      <c r="F23" s="2">
        <f t="shared" si="0"/>
        <v>3</v>
      </c>
      <c r="G23" s="2">
        <f t="shared" si="1"/>
        <v>0</v>
      </c>
      <c r="H23" s="2">
        <f t="shared" si="2"/>
        <v>0</v>
      </c>
      <c r="I23" s="2">
        <f t="shared" si="3"/>
        <v>0</v>
      </c>
      <c r="J23" s="2">
        <f t="shared" si="4"/>
        <v>3</v>
      </c>
      <c r="K23" s="2">
        <f t="shared" si="5"/>
        <v>2</v>
      </c>
      <c r="L23" s="3">
        <v>2</v>
      </c>
      <c r="M23" s="37" t="s">
        <v>25</v>
      </c>
      <c r="N23" s="3">
        <f t="shared" si="6"/>
        <v>1</v>
      </c>
      <c r="O23" s="37" t="s">
        <v>17</v>
      </c>
      <c r="P23" s="3">
        <f t="shared" si="7"/>
        <v>-1</v>
      </c>
      <c r="Q23" s="37" t="s">
        <v>18</v>
      </c>
      <c r="R23" s="3">
        <f t="shared" si="8"/>
        <v>-1</v>
      </c>
      <c r="S23" s="37" t="s">
        <v>135</v>
      </c>
      <c r="T23" s="23">
        <f t="shared" si="9"/>
        <v>63.557618752735749</v>
      </c>
      <c r="U23" s="24" t="s">
        <v>194</v>
      </c>
      <c r="V23" s="3">
        <f t="shared" si="10"/>
        <v>1</v>
      </c>
      <c r="W23" s="37">
        <v>0.34870000000000001</v>
      </c>
      <c r="X23" s="31">
        <f t="shared" si="11"/>
        <v>0.34875816993464059</v>
      </c>
      <c r="Y23" s="3">
        <f t="shared" si="19"/>
        <v>1</v>
      </c>
      <c r="Z23" s="37" t="s">
        <v>136</v>
      </c>
      <c r="AA23" s="23">
        <f t="shared" si="12"/>
        <v>78.711770402566486</v>
      </c>
      <c r="AB23" s="24" t="s">
        <v>194</v>
      </c>
      <c r="AC23" s="3">
        <f t="shared" si="13"/>
        <v>-1</v>
      </c>
      <c r="AD23" s="39"/>
      <c r="AE23" s="23">
        <f t="shared" si="14"/>
        <v>78.989999999999995</v>
      </c>
      <c r="AF23" s="24" t="s">
        <v>194</v>
      </c>
      <c r="AG23" s="3">
        <f t="shared" si="15"/>
        <v>0</v>
      </c>
      <c r="AH23" s="39"/>
      <c r="AI23" s="23">
        <f t="shared" si="16"/>
        <v>26.927458174191159</v>
      </c>
      <c r="AJ23" s="24" t="s">
        <v>194</v>
      </c>
      <c r="AK23" s="3">
        <f t="shared" si="17"/>
        <v>0</v>
      </c>
      <c r="AL23" s="57">
        <f t="shared" si="18"/>
        <v>2</v>
      </c>
      <c r="AM23" s="33">
        <f t="shared" si="21"/>
        <v>2</v>
      </c>
    </row>
    <row r="24" spans="1:39" ht="12.75" x14ac:dyDescent="0.2">
      <c r="A24" s="35">
        <v>23</v>
      </c>
      <c r="B24" s="36">
        <v>43805.739920972221</v>
      </c>
      <c r="C24" s="37" t="s">
        <v>137</v>
      </c>
      <c r="D24" s="37" t="s">
        <v>138</v>
      </c>
      <c r="E24" s="38">
        <v>313713</v>
      </c>
      <c r="F24" s="2">
        <f t="shared" si="0"/>
        <v>3</v>
      </c>
      <c r="G24" s="2">
        <f t="shared" si="1"/>
        <v>1</v>
      </c>
      <c r="H24" s="2">
        <f t="shared" si="2"/>
        <v>3</v>
      </c>
      <c r="I24" s="2">
        <f t="shared" si="3"/>
        <v>7</v>
      </c>
      <c r="J24" s="2">
        <f t="shared" si="4"/>
        <v>1</v>
      </c>
      <c r="K24" s="2">
        <f t="shared" si="5"/>
        <v>3</v>
      </c>
      <c r="L24" s="3">
        <v>2</v>
      </c>
      <c r="M24" s="37" t="s">
        <v>25</v>
      </c>
      <c r="N24" s="3">
        <f t="shared" si="6"/>
        <v>1</v>
      </c>
      <c r="O24" s="37" t="s">
        <v>17</v>
      </c>
      <c r="P24" s="3">
        <f t="shared" si="7"/>
        <v>-1</v>
      </c>
      <c r="Q24" s="37" t="s">
        <v>18</v>
      </c>
      <c r="R24" s="3">
        <f t="shared" si="8"/>
        <v>-1</v>
      </c>
      <c r="S24" s="37" t="s">
        <v>139</v>
      </c>
      <c r="T24" s="23">
        <f t="shared" si="9"/>
        <v>67.245830662285755</v>
      </c>
      <c r="U24" s="24" t="s">
        <v>194</v>
      </c>
      <c r="V24" s="3">
        <f t="shared" si="10"/>
        <v>1</v>
      </c>
      <c r="W24" s="37">
        <v>0.24198</v>
      </c>
      <c r="X24" s="31">
        <f t="shared" si="11"/>
        <v>0.24198116498081612</v>
      </c>
      <c r="Y24" s="3">
        <f t="shared" si="19"/>
        <v>1</v>
      </c>
      <c r="Z24" s="41" t="s">
        <v>140</v>
      </c>
      <c r="AA24" s="23">
        <f t="shared" si="12"/>
        <v>79.039739730690414</v>
      </c>
      <c r="AB24" s="24" t="s">
        <v>194</v>
      </c>
      <c r="AC24" s="3">
        <f t="shared" si="13"/>
        <v>-1</v>
      </c>
      <c r="AD24" s="39"/>
      <c r="AE24" s="23">
        <f t="shared" si="14"/>
        <v>79.989999999999995</v>
      </c>
      <c r="AF24" s="24" t="s">
        <v>194</v>
      </c>
      <c r="AG24" s="3">
        <f t="shared" si="15"/>
        <v>0</v>
      </c>
      <c r="AH24" s="39"/>
      <c r="AI24" s="23">
        <f t="shared" si="16"/>
        <v>28.613542797590881</v>
      </c>
      <c r="AJ24" s="24" t="s">
        <v>194</v>
      </c>
      <c r="AK24" s="3">
        <f t="shared" si="17"/>
        <v>0</v>
      </c>
      <c r="AL24" s="57">
        <f t="shared" si="18"/>
        <v>2</v>
      </c>
      <c r="AM24" s="33">
        <f t="shared" si="21"/>
        <v>2</v>
      </c>
    </row>
    <row r="25" spans="1:39" ht="12.75" x14ac:dyDescent="0.2">
      <c r="A25" s="35">
        <v>24</v>
      </c>
      <c r="B25" s="36">
        <v>43805.740660069445</v>
      </c>
      <c r="C25" s="59" t="s">
        <v>141</v>
      </c>
      <c r="D25" s="37" t="s">
        <v>142</v>
      </c>
      <c r="E25" s="38">
        <v>304065</v>
      </c>
      <c r="F25" s="2">
        <f t="shared" si="0"/>
        <v>3</v>
      </c>
      <c r="G25" s="2">
        <f t="shared" si="1"/>
        <v>0</v>
      </c>
      <c r="H25" s="2">
        <f t="shared" si="2"/>
        <v>4</v>
      </c>
      <c r="I25" s="2">
        <f t="shared" si="3"/>
        <v>0</v>
      </c>
      <c r="J25" s="2">
        <f t="shared" si="4"/>
        <v>6</v>
      </c>
      <c r="K25" s="2">
        <f t="shared" si="5"/>
        <v>5</v>
      </c>
      <c r="L25" s="3">
        <v>2</v>
      </c>
      <c r="M25" s="37" t="s">
        <v>25</v>
      </c>
      <c r="N25" s="3">
        <f t="shared" si="6"/>
        <v>1</v>
      </c>
      <c r="O25" s="37" t="s">
        <v>17</v>
      </c>
      <c r="P25" s="3">
        <f t="shared" si="7"/>
        <v>-1</v>
      </c>
      <c r="Q25" s="37" t="s">
        <v>18</v>
      </c>
      <c r="R25" s="3">
        <f t="shared" si="8"/>
        <v>-1</v>
      </c>
      <c r="S25" s="41" t="s">
        <v>143</v>
      </c>
      <c r="T25" s="23">
        <f t="shared" si="9"/>
        <v>65.850149139675011</v>
      </c>
      <c r="U25" s="24" t="s">
        <v>194</v>
      </c>
      <c r="V25" s="3">
        <f t="shared" si="10"/>
        <v>-1</v>
      </c>
      <c r="W25" s="37">
        <v>0.35</v>
      </c>
      <c r="X25" s="31">
        <f t="shared" si="11"/>
        <v>0.35092547092547094</v>
      </c>
      <c r="Y25" s="3">
        <f t="shared" si="19"/>
        <v>1</v>
      </c>
      <c r="Z25" s="39"/>
      <c r="AA25" s="23">
        <f t="shared" si="12"/>
        <v>82.257081743469712</v>
      </c>
      <c r="AB25" s="24" t="s">
        <v>194</v>
      </c>
      <c r="AC25" s="3">
        <f t="shared" si="13"/>
        <v>0</v>
      </c>
      <c r="AD25" s="37" t="s">
        <v>35</v>
      </c>
      <c r="AE25" s="23">
        <f t="shared" si="14"/>
        <v>81.99</v>
      </c>
      <c r="AF25" s="24" t="s">
        <v>194</v>
      </c>
      <c r="AG25" s="3">
        <f t="shared" si="15"/>
        <v>1</v>
      </c>
      <c r="AH25" s="39"/>
      <c r="AI25" s="23">
        <f t="shared" si="16"/>
        <v>28.990346556996627</v>
      </c>
      <c r="AJ25" s="24" t="s">
        <v>194</v>
      </c>
      <c r="AK25" s="3">
        <f t="shared" si="17"/>
        <v>0</v>
      </c>
      <c r="AL25" s="57">
        <f t="shared" si="18"/>
        <v>2</v>
      </c>
      <c r="AM25" s="33">
        <f t="shared" si="21"/>
        <v>2</v>
      </c>
    </row>
    <row r="26" spans="1:39" ht="12.75" x14ac:dyDescent="0.2">
      <c r="A26" s="35">
        <v>25</v>
      </c>
      <c r="B26" s="36">
        <v>43805.741220972224</v>
      </c>
      <c r="C26" s="37" t="s">
        <v>144</v>
      </c>
      <c r="D26" s="37" t="s">
        <v>145</v>
      </c>
      <c r="E26" s="38">
        <v>313277</v>
      </c>
      <c r="F26" s="2">
        <f t="shared" si="0"/>
        <v>3</v>
      </c>
      <c r="G26" s="2">
        <f t="shared" si="1"/>
        <v>1</v>
      </c>
      <c r="H26" s="2">
        <f t="shared" si="2"/>
        <v>3</v>
      </c>
      <c r="I26" s="2">
        <f t="shared" si="3"/>
        <v>2</v>
      </c>
      <c r="J26" s="2">
        <f t="shared" si="4"/>
        <v>7</v>
      </c>
      <c r="K26" s="2">
        <f t="shared" si="5"/>
        <v>7</v>
      </c>
      <c r="L26" s="3">
        <v>2</v>
      </c>
      <c r="M26" s="37" t="s">
        <v>25</v>
      </c>
      <c r="N26" s="3">
        <f t="shared" si="6"/>
        <v>1</v>
      </c>
      <c r="O26" s="37" t="s">
        <v>17</v>
      </c>
      <c r="P26" s="3">
        <f t="shared" si="7"/>
        <v>-1</v>
      </c>
      <c r="Q26" s="37" t="s">
        <v>65</v>
      </c>
      <c r="R26" s="3">
        <f t="shared" si="8"/>
        <v>1</v>
      </c>
      <c r="S26" s="37" t="s">
        <v>146</v>
      </c>
      <c r="T26" s="23">
        <f t="shared" si="9"/>
        <v>67.898140064602956</v>
      </c>
      <c r="U26" s="24" t="s">
        <v>194</v>
      </c>
      <c r="V26" s="3">
        <f t="shared" si="10"/>
        <v>1</v>
      </c>
      <c r="W26" s="37">
        <v>0.33090000000000003</v>
      </c>
      <c r="X26" s="31">
        <f t="shared" si="11"/>
        <v>0.33094600258779366</v>
      </c>
      <c r="Y26" s="3">
        <f t="shared" si="19"/>
        <v>1</v>
      </c>
      <c r="Z26" s="39"/>
      <c r="AA26" s="23">
        <f t="shared" si="12"/>
        <v>83.739806990290901</v>
      </c>
      <c r="AB26" s="24" t="s">
        <v>194</v>
      </c>
      <c r="AC26" s="3">
        <f t="shared" si="13"/>
        <v>0</v>
      </c>
      <c r="AD26" s="37" t="s">
        <v>111</v>
      </c>
      <c r="AE26" s="23">
        <f t="shared" si="14"/>
        <v>83.99</v>
      </c>
      <c r="AF26" s="24" t="s">
        <v>194</v>
      </c>
      <c r="AG26" s="3">
        <f t="shared" si="15"/>
        <v>1</v>
      </c>
      <c r="AH26" s="37" t="s">
        <v>147</v>
      </c>
      <c r="AI26" s="23">
        <f t="shared" si="16"/>
        <v>30.699172153578118</v>
      </c>
      <c r="AJ26" s="24" t="s">
        <v>194</v>
      </c>
      <c r="AK26" s="3">
        <f t="shared" si="17"/>
        <v>1</v>
      </c>
      <c r="AL26" s="57">
        <f t="shared" si="18"/>
        <v>7</v>
      </c>
      <c r="AM26" s="33">
        <f t="shared" si="21"/>
        <v>7</v>
      </c>
    </row>
    <row r="27" spans="1:39" ht="12.75" x14ac:dyDescent="0.2">
      <c r="A27" s="35">
        <v>26</v>
      </c>
      <c r="B27" s="36">
        <v>43805.741621261579</v>
      </c>
      <c r="C27" s="37" t="s">
        <v>148</v>
      </c>
      <c r="D27" s="37" t="s">
        <v>149</v>
      </c>
      <c r="E27" s="38">
        <v>313884</v>
      </c>
      <c r="F27" s="2">
        <f t="shared" si="0"/>
        <v>3</v>
      </c>
      <c r="G27" s="2">
        <f t="shared" si="1"/>
        <v>1</v>
      </c>
      <c r="H27" s="2">
        <f t="shared" si="2"/>
        <v>3</v>
      </c>
      <c r="I27" s="2">
        <f t="shared" si="3"/>
        <v>8</v>
      </c>
      <c r="J27" s="2">
        <f t="shared" si="4"/>
        <v>8</v>
      </c>
      <c r="K27" s="2">
        <f t="shared" si="5"/>
        <v>4</v>
      </c>
      <c r="L27" s="3">
        <v>2</v>
      </c>
      <c r="M27" s="37" t="s">
        <v>25</v>
      </c>
      <c r="N27" s="3">
        <f t="shared" si="6"/>
        <v>1</v>
      </c>
      <c r="O27" s="37" t="s">
        <v>17</v>
      </c>
      <c r="P27" s="3">
        <f t="shared" si="7"/>
        <v>-1</v>
      </c>
      <c r="Q27" s="37" t="s">
        <v>65</v>
      </c>
      <c r="R27" s="3">
        <f t="shared" si="8"/>
        <v>1</v>
      </c>
      <c r="S27" s="39"/>
      <c r="T27" s="23">
        <f t="shared" si="9"/>
        <v>69.697684859076418</v>
      </c>
      <c r="U27" s="24" t="s">
        <v>194</v>
      </c>
      <c r="V27" s="3">
        <f t="shared" si="10"/>
        <v>0</v>
      </c>
      <c r="W27" s="39"/>
      <c r="X27" s="31">
        <f t="shared" si="11"/>
        <v>0.31372549019607848</v>
      </c>
      <c r="Y27" s="3">
        <f t="shared" si="19"/>
        <v>0</v>
      </c>
      <c r="Z27" s="37" t="s">
        <v>150</v>
      </c>
      <c r="AA27" s="23">
        <f t="shared" si="12"/>
        <v>84.134581798242834</v>
      </c>
      <c r="AB27" s="24" t="s">
        <v>194</v>
      </c>
      <c r="AC27" s="3">
        <f t="shared" si="13"/>
        <v>-1</v>
      </c>
      <c r="AD27" s="37" t="s">
        <v>151</v>
      </c>
      <c r="AE27" s="23">
        <f t="shared" si="14"/>
        <v>80.989999999999995</v>
      </c>
      <c r="AF27" s="24" t="s">
        <v>194</v>
      </c>
      <c r="AG27" s="3">
        <f t="shared" si="15"/>
        <v>1</v>
      </c>
      <c r="AH27" s="37" t="s">
        <v>152</v>
      </c>
      <c r="AI27" s="23">
        <f t="shared" si="16"/>
        <v>27.417442928006025</v>
      </c>
      <c r="AJ27" s="24" t="s">
        <v>194</v>
      </c>
      <c r="AK27" s="3">
        <f t="shared" si="17"/>
        <v>-1</v>
      </c>
      <c r="AL27" s="57">
        <f t="shared" si="18"/>
        <v>2</v>
      </c>
      <c r="AM27" s="33">
        <f t="shared" si="21"/>
        <v>2</v>
      </c>
    </row>
    <row r="28" spans="1:39" ht="12.75" x14ac:dyDescent="0.2">
      <c r="A28" s="35">
        <v>27</v>
      </c>
      <c r="B28" s="36">
        <v>43805.742355057868</v>
      </c>
      <c r="C28" s="37" t="s">
        <v>153</v>
      </c>
      <c r="D28" s="37" t="s">
        <v>154</v>
      </c>
      <c r="E28" s="38">
        <v>308566</v>
      </c>
      <c r="F28" s="2">
        <f t="shared" si="0"/>
        <v>3</v>
      </c>
      <c r="G28" s="2">
        <f t="shared" si="1"/>
        <v>0</v>
      </c>
      <c r="H28" s="2">
        <f t="shared" si="2"/>
        <v>8</v>
      </c>
      <c r="I28" s="2">
        <f t="shared" si="3"/>
        <v>5</v>
      </c>
      <c r="J28" s="2">
        <f t="shared" si="4"/>
        <v>6</v>
      </c>
      <c r="K28" s="2">
        <f t="shared" si="5"/>
        <v>6</v>
      </c>
      <c r="L28" s="3">
        <v>2</v>
      </c>
      <c r="M28" s="37" t="s">
        <v>25</v>
      </c>
      <c r="N28" s="3">
        <f t="shared" si="6"/>
        <v>1</v>
      </c>
      <c r="O28" s="37" t="s">
        <v>17</v>
      </c>
      <c r="P28" s="3">
        <f t="shared" si="7"/>
        <v>-1</v>
      </c>
      <c r="Q28" s="37" t="s">
        <v>65</v>
      </c>
      <c r="R28" s="3">
        <f t="shared" si="8"/>
        <v>1</v>
      </c>
      <c r="S28" s="37" t="s">
        <v>155</v>
      </c>
      <c r="T28" s="23">
        <f t="shared" si="9"/>
        <v>68.289975480966902</v>
      </c>
      <c r="U28" s="24" t="s">
        <v>194</v>
      </c>
      <c r="V28" s="3">
        <f t="shared" si="10"/>
        <v>1</v>
      </c>
      <c r="W28" s="37">
        <v>0.30499999999999999</v>
      </c>
      <c r="X28" s="31">
        <f t="shared" si="11"/>
        <v>0.30485911749069639</v>
      </c>
      <c r="Y28" s="3">
        <f t="shared" si="19"/>
        <v>1</v>
      </c>
      <c r="Z28" s="37" t="s">
        <v>156</v>
      </c>
      <c r="AA28" s="23">
        <f t="shared" si="12"/>
        <v>82.846460524287323</v>
      </c>
      <c r="AB28" s="24" t="s">
        <v>194</v>
      </c>
      <c r="AC28" s="3">
        <f t="shared" si="13"/>
        <v>1</v>
      </c>
      <c r="AD28" s="37" t="s">
        <v>157</v>
      </c>
      <c r="AE28" s="23">
        <f t="shared" si="14"/>
        <v>82.99</v>
      </c>
      <c r="AF28" s="24" t="s">
        <v>194</v>
      </c>
      <c r="AG28" s="3">
        <f t="shared" si="15"/>
        <v>-1</v>
      </c>
      <c r="AH28" s="37" t="s">
        <v>158</v>
      </c>
      <c r="AI28" s="23">
        <f t="shared" si="16"/>
        <v>29.990346556996627</v>
      </c>
      <c r="AJ28" s="24" t="s">
        <v>194</v>
      </c>
      <c r="AK28" s="3">
        <v>0</v>
      </c>
      <c r="AL28" s="57">
        <f t="shared" si="18"/>
        <v>5</v>
      </c>
      <c r="AM28" s="33">
        <f t="shared" si="21"/>
        <v>5</v>
      </c>
    </row>
    <row r="29" spans="1:39" ht="13.5" thickBot="1" x14ac:dyDescent="0.25">
      <c r="A29" s="42">
        <v>28</v>
      </c>
      <c r="B29" s="43">
        <v>43805.820686435181</v>
      </c>
      <c r="C29" s="44" t="s">
        <v>159</v>
      </c>
      <c r="D29" s="44" t="s">
        <v>160</v>
      </c>
      <c r="E29" s="45">
        <v>300694</v>
      </c>
      <c r="F29" s="46">
        <f t="shared" si="0"/>
        <v>3</v>
      </c>
      <c r="G29" s="46">
        <f t="shared" si="1"/>
        <v>0</v>
      </c>
      <c r="H29" s="46">
        <f t="shared" si="2"/>
        <v>0</v>
      </c>
      <c r="I29" s="46">
        <f t="shared" si="3"/>
        <v>6</v>
      </c>
      <c r="J29" s="46">
        <f t="shared" si="4"/>
        <v>9</v>
      </c>
      <c r="K29" s="46">
        <f t="shared" si="5"/>
        <v>4</v>
      </c>
      <c r="L29" s="47">
        <v>2</v>
      </c>
      <c r="M29" s="44" t="s">
        <v>25</v>
      </c>
      <c r="N29" s="47">
        <f t="shared" si="6"/>
        <v>1</v>
      </c>
      <c r="O29" s="44" t="s">
        <v>17</v>
      </c>
      <c r="P29" s="47">
        <f t="shared" si="7"/>
        <v>-1</v>
      </c>
      <c r="Q29" s="44" t="s">
        <v>18</v>
      </c>
      <c r="R29" s="47">
        <f t="shared" si="8"/>
        <v>-1</v>
      </c>
      <c r="S29" s="48" t="s">
        <v>161</v>
      </c>
      <c r="T29" s="23">
        <f t="shared" si="9"/>
        <v>68.414297133514197</v>
      </c>
      <c r="U29" s="50" t="s">
        <v>194</v>
      </c>
      <c r="V29" s="47">
        <f t="shared" si="10"/>
        <v>-1</v>
      </c>
      <c r="W29" s="44">
        <v>0.34649999999999997</v>
      </c>
      <c r="X29" s="51">
        <f t="shared" si="11"/>
        <v>0.34653784219001615</v>
      </c>
      <c r="Y29" s="47">
        <f t="shared" si="19"/>
        <v>1</v>
      </c>
      <c r="Z29" s="52" t="s">
        <v>162</v>
      </c>
      <c r="AA29" s="23">
        <f t="shared" si="12"/>
        <v>84.969100130080562</v>
      </c>
      <c r="AB29" s="50" t="s">
        <v>194</v>
      </c>
      <c r="AC29" s="47">
        <f t="shared" si="13"/>
        <v>-1</v>
      </c>
      <c r="AD29" s="53"/>
      <c r="AE29" s="49">
        <f t="shared" si="14"/>
        <v>80.989999999999995</v>
      </c>
      <c r="AF29" s="50" t="s">
        <v>194</v>
      </c>
      <c r="AG29" s="47">
        <f t="shared" si="15"/>
        <v>0</v>
      </c>
      <c r="AH29" s="53"/>
      <c r="AI29" s="49">
        <f t="shared" si="16"/>
        <v>27.144565314675091</v>
      </c>
      <c r="AJ29" s="50" t="s">
        <v>194</v>
      </c>
      <c r="AK29" s="47">
        <f t="shared" si="17"/>
        <v>0</v>
      </c>
      <c r="AL29" s="58">
        <f t="shared" si="18"/>
        <v>0</v>
      </c>
      <c r="AM29" s="54">
        <f t="shared" si="21"/>
        <v>0</v>
      </c>
    </row>
    <row r="31" spans="1:39" ht="15.75" customHeight="1" x14ac:dyDescent="0.2">
      <c r="A31" s="25" t="s">
        <v>211</v>
      </c>
    </row>
    <row r="32" spans="1:39" ht="15.75" customHeight="1" x14ac:dyDescent="0.2">
      <c r="A32" s="29" t="s">
        <v>212</v>
      </c>
      <c r="B32" s="30"/>
      <c r="C32" s="30"/>
    </row>
    <row r="33" spans="1:3" ht="15.75" customHeight="1" x14ac:dyDescent="0.2">
      <c r="A33" s="27" t="s">
        <v>213</v>
      </c>
      <c r="B33" s="28"/>
      <c r="C33" s="28"/>
    </row>
    <row r="34" spans="1:3" ht="15.75" customHeight="1" x14ac:dyDescent="0.2">
      <c r="A34" s="26" t="s">
        <v>215</v>
      </c>
      <c r="B34" s="12"/>
      <c r="C34" s="12"/>
    </row>
  </sheetData>
  <conditionalFormatting sqref="L2:L29">
    <cfRule type="cellIs" dxfId="26" priority="29" operator="lessThan">
      <formula>0</formula>
    </cfRule>
  </conditionalFormatting>
  <conditionalFormatting sqref="L2:L29">
    <cfRule type="containsText" dxfId="25" priority="30" operator="containsText" text=",">
      <formula>NOT(ISERROR(SEARCH(",",L2)))</formula>
    </cfRule>
  </conditionalFormatting>
  <conditionalFormatting sqref="L2:L29">
    <cfRule type="cellIs" dxfId="24" priority="28" operator="equal">
      <formula>0</formula>
    </cfRule>
  </conditionalFormatting>
  <conditionalFormatting sqref="N2:N29">
    <cfRule type="cellIs" dxfId="23" priority="26" operator="lessThan">
      <formula>0</formula>
    </cfRule>
  </conditionalFormatting>
  <conditionalFormatting sqref="N2:N29">
    <cfRule type="containsText" dxfId="22" priority="27" operator="containsText" text=",">
      <formula>NOT(ISERROR(SEARCH(",",N2)))</formula>
    </cfRule>
  </conditionalFormatting>
  <conditionalFormatting sqref="N2:N29">
    <cfRule type="cellIs" dxfId="21" priority="25" operator="equal">
      <formula>0</formula>
    </cfRule>
  </conditionalFormatting>
  <conditionalFormatting sqref="P2:P29">
    <cfRule type="cellIs" dxfId="20" priority="23" operator="lessThan">
      <formula>0</formula>
    </cfRule>
  </conditionalFormatting>
  <conditionalFormatting sqref="P2:P29">
    <cfRule type="containsText" dxfId="19" priority="24" operator="containsText" text=",">
      <formula>NOT(ISERROR(SEARCH(",",P2)))</formula>
    </cfRule>
  </conditionalFormatting>
  <conditionalFormatting sqref="P2:P29">
    <cfRule type="cellIs" dxfId="18" priority="22" operator="equal">
      <formula>0</formula>
    </cfRule>
  </conditionalFormatting>
  <conditionalFormatting sqref="R2:R29">
    <cfRule type="cellIs" dxfId="17" priority="20" operator="lessThan">
      <formula>0</formula>
    </cfRule>
  </conditionalFormatting>
  <conditionalFormatting sqref="R2:R29">
    <cfRule type="containsText" dxfId="16" priority="21" operator="containsText" text=",">
      <formula>NOT(ISERROR(SEARCH(",",R2)))</formula>
    </cfRule>
  </conditionalFormatting>
  <conditionalFormatting sqref="R2:R29">
    <cfRule type="cellIs" dxfId="15" priority="19" operator="equal">
      <formula>0</formula>
    </cfRule>
  </conditionalFormatting>
  <conditionalFormatting sqref="V2:V29">
    <cfRule type="cellIs" dxfId="14" priority="17" operator="lessThan">
      <formula>0</formula>
    </cfRule>
  </conditionalFormatting>
  <conditionalFormatting sqref="V2:V29">
    <cfRule type="containsText" dxfId="13" priority="18" operator="containsText" text=",">
      <formula>NOT(ISERROR(SEARCH(",",V2)))</formula>
    </cfRule>
  </conditionalFormatting>
  <conditionalFormatting sqref="V2:V29">
    <cfRule type="cellIs" dxfId="12" priority="16" operator="equal">
      <formula>0</formula>
    </cfRule>
  </conditionalFormatting>
  <conditionalFormatting sqref="Y2:Y29">
    <cfRule type="cellIs" dxfId="11" priority="11" operator="lessThan">
      <formula>0</formula>
    </cfRule>
  </conditionalFormatting>
  <conditionalFormatting sqref="Y2:Y29">
    <cfRule type="containsText" dxfId="10" priority="12" operator="containsText" text=",">
      <formula>NOT(ISERROR(SEARCH(",",Y2)))</formula>
    </cfRule>
  </conditionalFormatting>
  <conditionalFormatting sqref="Y2:Y29">
    <cfRule type="cellIs" dxfId="9" priority="10" operator="equal">
      <formula>0</formula>
    </cfRule>
  </conditionalFormatting>
  <conditionalFormatting sqref="AC2:AC29">
    <cfRule type="cellIs" dxfId="2" priority="8" operator="lessThan">
      <formula>0</formula>
    </cfRule>
  </conditionalFormatting>
  <conditionalFormatting sqref="AC2:AC29">
    <cfRule type="containsText" dxfId="1" priority="9" operator="containsText" text=",">
      <formula>NOT(ISERROR(SEARCH(",",AC2)))</formula>
    </cfRule>
  </conditionalFormatting>
  <conditionalFormatting sqref="AC2:AC29">
    <cfRule type="cellIs" dxfId="0" priority="7" operator="equal">
      <formula>0</formula>
    </cfRule>
  </conditionalFormatting>
  <conditionalFormatting sqref="AG2:AG29">
    <cfRule type="cellIs" dxfId="8" priority="5" operator="lessThan">
      <formula>0</formula>
    </cfRule>
  </conditionalFormatting>
  <conditionalFormatting sqref="AG2:AG29">
    <cfRule type="containsText" dxfId="7" priority="6" operator="containsText" text=",">
      <formula>NOT(ISERROR(SEARCH(",",AG2)))</formula>
    </cfRule>
  </conditionalFormatting>
  <conditionalFormatting sqref="AG2:AG29">
    <cfRule type="cellIs" dxfId="6" priority="4" operator="equal">
      <formula>0</formula>
    </cfRule>
  </conditionalFormatting>
  <conditionalFormatting sqref="AK2:AK29">
    <cfRule type="cellIs" dxfId="5" priority="2" operator="lessThan">
      <formula>0</formula>
    </cfRule>
  </conditionalFormatting>
  <conditionalFormatting sqref="AK2:AK29">
    <cfRule type="containsText" dxfId="4" priority="3" operator="containsText" text=",">
      <formula>NOT(ISERROR(SEARCH(",",AK2)))</formula>
    </cfRule>
  </conditionalFormatting>
  <conditionalFormatting sqref="AK2:AK29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6"/>
  <sheetViews>
    <sheetView topLeftCell="A24" zoomScale="148" zoomScaleNormal="148" workbookViewId="0">
      <selection activeCell="M33" sqref="M33"/>
    </sheetView>
  </sheetViews>
  <sheetFormatPr defaultRowHeight="12.75" x14ac:dyDescent="0.2"/>
  <cols>
    <col min="1" max="1" width="8.42578125" customWidth="1"/>
    <col min="4" max="4" width="9.85546875" customWidth="1"/>
    <col min="10" max="10" width="12.5703125" bestFit="1" customWidth="1"/>
  </cols>
  <sheetData>
    <row r="1" spans="1:9" x14ac:dyDescent="0.2">
      <c r="A1" s="6" t="s">
        <v>171</v>
      </c>
    </row>
    <row r="2" spans="1:9" x14ac:dyDescent="0.2">
      <c r="A2" s="6"/>
    </row>
    <row r="3" spans="1:9" x14ac:dyDescent="0.2">
      <c r="A3" s="7" t="s">
        <v>3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</row>
    <row r="5" spans="1:9" x14ac:dyDescent="0.2">
      <c r="A5" s="8" t="s">
        <v>4</v>
      </c>
    </row>
    <row r="6" spans="1:9" x14ac:dyDescent="0.2">
      <c r="A6" s="9" t="s">
        <v>172</v>
      </c>
    </row>
    <row r="7" spans="1:9" x14ac:dyDescent="0.2">
      <c r="A7" s="10" t="s">
        <v>173</v>
      </c>
    </row>
    <row r="8" spans="1:9" x14ac:dyDescent="0.2">
      <c r="A8" s="10" t="s">
        <v>174</v>
      </c>
    </row>
    <row r="9" spans="1:9" x14ac:dyDescent="0.2">
      <c r="A9" s="10" t="s">
        <v>175</v>
      </c>
    </row>
    <row r="10" spans="1:9" x14ac:dyDescent="0.2">
      <c r="A10" s="13" t="s">
        <v>176</v>
      </c>
      <c r="B10" s="5"/>
      <c r="C10" s="5"/>
      <c r="D10" s="5"/>
      <c r="E10" s="5"/>
      <c r="F10" s="5"/>
      <c r="G10" s="5"/>
      <c r="H10" s="5"/>
      <c r="I10" s="5"/>
    </row>
    <row r="11" spans="1:9" x14ac:dyDescent="0.2">
      <c r="A11" s="10" t="s">
        <v>177</v>
      </c>
    </row>
    <row r="12" spans="1:9" x14ac:dyDescent="0.2">
      <c r="A12" s="10" t="s">
        <v>178</v>
      </c>
    </row>
    <row r="13" spans="1:9" x14ac:dyDescent="0.2">
      <c r="A13" s="11"/>
    </row>
    <row r="14" spans="1:9" x14ac:dyDescent="0.2">
      <c r="A14" s="8" t="s">
        <v>5</v>
      </c>
    </row>
    <row r="15" spans="1:9" x14ac:dyDescent="0.2">
      <c r="A15" s="9" t="s">
        <v>172</v>
      </c>
    </row>
    <row r="16" spans="1:9" x14ac:dyDescent="0.2">
      <c r="A16" s="10" t="s">
        <v>179</v>
      </c>
    </row>
    <row r="17" spans="1:14" x14ac:dyDescent="0.2">
      <c r="A17" s="10" t="s">
        <v>180</v>
      </c>
    </row>
    <row r="18" spans="1:14" x14ac:dyDescent="0.2">
      <c r="A18" s="10" t="s">
        <v>181</v>
      </c>
    </row>
    <row r="19" spans="1:14" x14ac:dyDescent="0.2">
      <c r="A19" s="10" t="s">
        <v>182</v>
      </c>
    </row>
    <row r="20" spans="1:14" x14ac:dyDescent="0.2">
      <c r="A20" s="13" t="s">
        <v>183</v>
      </c>
      <c r="B20" s="5"/>
      <c r="C20" s="5"/>
      <c r="D20" s="5"/>
      <c r="E20" s="5"/>
      <c r="F20" s="5"/>
      <c r="G20" s="5"/>
      <c r="H20" s="5"/>
      <c r="I20" s="5"/>
      <c r="J20" s="5"/>
    </row>
    <row r="21" spans="1:14" x14ac:dyDescent="0.2">
      <c r="A21" s="11"/>
    </row>
    <row r="22" spans="1:14" x14ac:dyDescent="0.2">
      <c r="A22" s="8" t="s">
        <v>6</v>
      </c>
    </row>
    <row r="23" spans="1:14" x14ac:dyDescent="0.2">
      <c r="A23" s="9" t="s">
        <v>172</v>
      </c>
    </row>
    <row r="24" spans="1:14" x14ac:dyDescent="0.2">
      <c r="A24" s="10" t="s">
        <v>184</v>
      </c>
    </row>
    <row r="25" spans="1:14" x14ac:dyDescent="0.2">
      <c r="A25" s="10" t="s">
        <v>185</v>
      </c>
    </row>
    <row r="26" spans="1:14" x14ac:dyDescent="0.2">
      <c r="A26" s="13" t="s">
        <v>186</v>
      </c>
      <c r="B26" s="5"/>
      <c r="C26" s="5"/>
      <c r="D26" s="5"/>
      <c r="E26" s="5"/>
      <c r="F26" s="5"/>
      <c r="G26" s="5"/>
    </row>
    <row r="27" spans="1:14" x14ac:dyDescent="0.2">
      <c r="A27" s="10" t="s">
        <v>187</v>
      </c>
    </row>
    <row r="28" spans="1:14" ht="14.25" x14ac:dyDescent="0.2">
      <c r="A28" s="10" t="s">
        <v>188</v>
      </c>
    </row>
    <row r="29" spans="1:14" x14ac:dyDescent="0.2">
      <c r="A29" s="11"/>
    </row>
    <row r="30" spans="1:14" ht="28.5" customHeight="1" x14ac:dyDescent="0.2">
      <c r="A30" s="60" t="s">
        <v>189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</row>
    <row r="31" spans="1:14" ht="13.5" thickBot="1" x14ac:dyDescent="0.25">
      <c r="A31" s="9" t="s">
        <v>190</v>
      </c>
    </row>
    <row r="32" spans="1:14" ht="13.5" thickBot="1" x14ac:dyDescent="0.25">
      <c r="A32" s="14" t="s">
        <v>193</v>
      </c>
      <c r="B32">
        <f>60+F</f>
        <v>66</v>
      </c>
      <c r="C32" s="7" t="s">
        <v>194</v>
      </c>
      <c r="D32" s="7" t="s">
        <v>195</v>
      </c>
      <c r="E32">
        <v>16</v>
      </c>
      <c r="F32" s="7" t="s">
        <v>196</v>
      </c>
      <c r="L32" s="15" t="s">
        <v>219</v>
      </c>
      <c r="M32" s="16">
        <f>10*LOG10(((E32-E33)*10^(B32/10)+E33*10^(B33/10))/16)</f>
        <v>67.754458554470702</v>
      </c>
      <c r="N32" s="17" t="s">
        <v>194</v>
      </c>
    </row>
    <row r="33" spans="1:14" x14ac:dyDescent="0.2">
      <c r="A33" s="14" t="s">
        <v>197</v>
      </c>
      <c r="B33">
        <f>70+D</f>
        <v>74</v>
      </c>
      <c r="C33" s="7" t="s">
        <v>194</v>
      </c>
      <c r="D33" s="7" t="s">
        <v>198</v>
      </c>
      <c r="E33">
        <f>1+E/10</f>
        <v>1.5</v>
      </c>
      <c r="F33" s="7" t="s">
        <v>196</v>
      </c>
    </row>
    <row r="34" spans="1:14" x14ac:dyDescent="0.2">
      <c r="A34" s="11"/>
    </row>
    <row r="35" spans="1:14" ht="30.75" customHeight="1" thickBot="1" x14ac:dyDescent="0.25">
      <c r="A35" s="60" t="s">
        <v>8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</row>
    <row r="36" spans="1:14" ht="13.5" thickBot="1" x14ac:dyDescent="0.25">
      <c r="A36" s="9" t="s">
        <v>190</v>
      </c>
      <c r="L36" s="18" t="s">
        <v>199</v>
      </c>
      <c r="M36" s="19">
        <f>0.16*(200+D*10+E)/(8+F/4)*(1/(4+D/10)-1/(6+E/10))</f>
        <v>0.30298122929701871</v>
      </c>
    </row>
    <row r="37" spans="1:14" x14ac:dyDescent="0.2">
      <c r="A37" s="9"/>
    </row>
    <row r="38" spans="1:14" x14ac:dyDescent="0.2">
      <c r="A38" s="11" t="s">
        <v>191</v>
      </c>
    </row>
    <row r="39" spans="1:14" ht="27.75" customHeight="1" x14ac:dyDescent="0.2">
      <c r="A39" s="60" t="s">
        <v>192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</row>
    <row r="40" spans="1:14" ht="13.5" thickBot="1" x14ac:dyDescent="0.25">
      <c r="A40" s="9" t="s">
        <v>190</v>
      </c>
    </row>
    <row r="41" spans="1:14" ht="13.5" thickBot="1" x14ac:dyDescent="0.25">
      <c r="A41" s="14" t="s">
        <v>193</v>
      </c>
      <c r="B41">
        <f>75+E</f>
        <v>80</v>
      </c>
      <c r="C41" s="7" t="s">
        <v>194</v>
      </c>
      <c r="D41" s="7" t="s">
        <v>195</v>
      </c>
      <c r="E41">
        <f>8+F/2</f>
        <v>11</v>
      </c>
      <c r="F41" s="7" t="s">
        <v>196</v>
      </c>
      <c r="L41" s="15" t="s">
        <v>218</v>
      </c>
      <c r="M41" s="16">
        <f>10*LOG10(((E41-E42)*10^(B41/10)+E42*10^(B42/10))/8)</f>
        <v>81.943519405183466</v>
      </c>
      <c r="N41" s="17" t="s">
        <v>194</v>
      </c>
    </row>
    <row r="42" spans="1:14" x14ac:dyDescent="0.2">
      <c r="A42" s="14" t="s">
        <v>197</v>
      </c>
      <c r="B42">
        <f>83+F/4</f>
        <v>84.5</v>
      </c>
      <c r="C42" s="7" t="s">
        <v>194</v>
      </c>
      <c r="D42" s="7" t="s">
        <v>198</v>
      </c>
      <c r="E42">
        <f>(1+D)/6</f>
        <v>0.83333333333333337</v>
      </c>
      <c r="F42" s="7" t="s">
        <v>196</v>
      </c>
    </row>
    <row r="43" spans="1:14" x14ac:dyDescent="0.2">
      <c r="A43" s="11" t="s">
        <v>191</v>
      </c>
    </row>
    <row r="44" spans="1:14" x14ac:dyDescent="0.2">
      <c r="A44" s="8" t="s">
        <v>10</v>
      </c>
    </row>
    <row r="45" spans="1:14" x14ac:dyDescent="0.2">
      <c r="A45" s="9" t="s">
        <v>190</v>
      </c>
      <c r="L45" s="20"/>
      <c r="M45" s="21"/>
      <c r="N45" s="7"/>
    </row>
    <row r="46" spans="1:14" x14ac:dyDescent="0.2">
      <c r="D46" s="7" t="s">
        <v>202</v>
      </c>
      <c r="E46">
        <v>63</v>
      </c>
      <c r="F46">
        <v>125</v>
      </c>
      <c r="G46">
        <v>250</v>
      </c>
      <c r="H46">
        <v>500</v>
      </c>
      <c r="I46">
        <v>1000</v>
      </c>
      <c r="J46">
        <v>2000</v>
      </c>
      <c r="K46">
        <v>4000</v>
      </c>
      <c r="L46">
        <v>8000</v>
      </c>
      <c r="M46" s="7" t="s">
        <v>207</v>
      </c>
    </row>
    <row r="47" spans="1:14" x14ac:dyDescent="0.2">
      <c r="D47" s="7" t="s">
        <v>201</v>
      </c>
      <c r="E47">
        <v>-26.2</v>
      </c>
      <c r="F47">
        <v>-16.100000000000001</v>
      </c>
      <c r="G47">
        <v>-8.6</v>
      </c>
      <c r="H47">
        <v>-3.2</v>
      </c>
      <c r="I47">
        <v>0</v>
      </c>
      <c r="J47">
        <v>1.2</v>
      </c>
      <c r="K47">
        <v>1</v>
      </c>
      <c r="L47">
        <v>-1.1000000000000001</v>
      </c>
    </row>
    <row r="48" spans="1:14" ht="13.5" thickBot="1" x14ac:dyDescent="0.25">
      <c r="D48" s="7" t="s">
        <v>205</v>
      </c>
      <c r="E48">
        <f t="shared" ref="E48:L48" si="0">70+F</f>
        <v>76</v>
      </c>
      <c r="F48">
        <f t="shared" si="0"/>
        <v>76</v>
      </c>
      <c r="G48">
        <f t="shared" si="0"/>
        <v>76</v>
      </c>
      <c r="H48">
        <f t="shared" si="0"/>
        <v>76</v>
      </c>
      <c r="I48">
        <f t="shared" si="0"/>
        <v>76</v>
      </c>
      <c r="J48">
        <f t="shared" si="0"/>
        <v>76</v>
      </c>
      <c r="K48">
        <f t="shared" si="0"/>
        <v>76</v>
      </c>
      <c r="L48">
        <f t="shared" si="0"/>
        <v>76</v>
      </c>
      <c r="M48" s="21">
        <f>70+F+10*LOG10(8)</f>
        <v>85.030899869919438</v>
      </c>
      <c r="N48" s="7" t="s">
        <v>200</v>
      </c>
    </row>
    <row r="49" spans="1:15" ht="13.5" thickBot="1" x14ac:dyDescent="0.25">
      <c r="D49" s="7" t="s">
        <v>203</v>
      </c>
      <c r="E49">
        <f t="shared" ref="E49:L49" si="1">(70+F)+E47</f>
        <v>49.8</v>
      </c>
      <c r="F49">
        <f t="shared" si="1"/>
        <v>59.9</v>
      </c>
      <c r="G49">
        <f t="shared" si="1"/>
        <v>67.400000000000006</v>
      </c>
      <c r="H49">
        <f t="shared" si="1"/>
        <v>72.8</v>
      </c>
      <c r="I49">
        <f t="shared" si="1"/>
        <v>76</v>
      </c>
      <c r="J49">
        <f t="shared" si="1"/>
        <v>77.2</v>
      </c>
      <c r="K49">
        <f t="shared" si="1"/>
        <v>77</v>
      </c>
      <c r="L49">
        <f t="shared" si="1"/>
        <v>74.900000000000006</v>
      </c>
      <c r="M49" s="16">
        <f>10*LOG10(M50)</f>
        <v>82.987131481197679</v>
      </c>
      <c r="N49" s="17" t="s">
        <v>194</v>
      </c>
      <c r="O49" s="7"/>
    </row>
    <row r="50" spans="1:15" x14ac:dyDescent="0.2">
      <c r="D50" s="7" t="s">
        <v>204</v>
      </c>
      <c r="E50">
        <f>10^(E49/10)</f>
        <v>95499.258602143629</v>
      </c>
      <c r="F50">
        <f t="shared" ref="F50:L50" si="2">10^(F49/10)</f>
        <v>977237.22095581202</v>
      </c>
      <c r="G50">
        <f t="shared" si="2"/>
        <v>5495408.7385762529</v>
      </c>
      <c r="H50">
        <f t="shared" si="2"/>
        <v>19054607.1796325</v>
      </c>
      <c r="I50">
        <f t="shared" si="2"/>
        <v>39810717.055349804</v>
      </c>
      <c r="J50">
        <f t="shared" si="2"/>
        <v>52480746.02497749</v>
      </c>
      <c r="K50">
        <f t="shared" si="2"/>
        <v>50118723.362727284</v>
      </c>
      <c r="L50">
        <f t="shared" si="2"/>
        <v>30902954.325135998</v>
      </c>
      <c r="M50">
        <f>SUM(E50:L50)</f>
        <v>198935893.1659573</v>
      </c>
    </row>
    <row r="51" spans="1:15" x14ac:dyDescent="0.2">
      <c r="A51" s="11"/>
    </row>
    <row r="52" spans="1:15" x14ac:dyDescent="0.2">
      <c r="A52" s="8" t="s">
        <v>11</v>
      </c>
      <c r="M52" s="21"/>
    </row>
    <row r="53" spans="1:15" x14ac:dyDescent="0.2">
      <c r="A53" s="9" t="s">
        <v>190</v>
      </c>
      <c r="M53" s="21"/>
      <c r="N53" s="7"/>
    </row>
    <row r="54" spans="1:15" ht="13.5" thickBot="1" x14ac:dyDescent="0.25">
      <c r="D54" s="20" t="s">
        <v>206</v>
      </c>
      <c r="E54" s="21">
        <f t="shared" ref="E54:L54" si="3">20*LOG10((70+E*3)*E46)-44</f>
        <v>30.575189503357493</v>
      </c>
      <c r="F54" s="21">
        <f t="shared" si="3"/>
        <v>36.526578774446989</v>
      </c>
      <c r="G54" s="21">
        <f t="shared" si="3"/>
        <v>42.547178687726614</v>
      </c>
      <c r="H54" s="21">
        <f t="shared" si="3"/>
        <v>48.567778601006239</v>
      </c>
      <c r="I54" s="21">
        <f t="shared" si="3"/>
        <v>54.588378514285864</v>
      </c>
      <c r="J54" s="21">
        <f t="shared" si="3"/>
        <v>60.608978427565489</v>
      </c>
      <c r="K54" s="21">
        <f t="shared" si="3"/>
        <v>66.629578340845114</v>
      </c>
      <c r="L54" s="21">
        <f t="shared" si="3"/>
        <v>72.650178254124739</v>
      </c>
    </row>
    <row r="55" spans="1:15" ht="13.5" thickBot="1" x14ac:dyDescent="0.25">
      <c r="D55" s="7" t="s">
        <v>203</v>
      </c>
      <c r="E55" s="21">
        <f>E49-E54</f>
        <v>19.224810496642505</v>
      </c>
      <c r="F55" s="21">
        <f t="shared" ref="F55:L55" si="4">F49-F54</f>
        <v>23.37342122555301</v>
      </c>
      <c r="G55" s="21">
        <f t="shared" si="4"/>
        <v>24.852821312273392</v>
      </c>
      <c r="H55" s="21">
        <f t="shared" si="4"/>
        <v>24.232221398993758</v>
      </c>
      <c r="I55" s="21">
        <f t="shared" si="4"/>
        <v>21.411621485714136</v>
      </c>
      <c r="J55" s="21">
        <f t="shared" si="4"/>
        <v>16.591021572434514</v>
      </c>
      <c r="K55" s="21">
        <f t="shared" si="4"/>
        <v>10.370421659154886</v>
      </c>
      <c r="L55" s="21">
        <f t="shared" si="4"/>
        <v>2.2498217458752663</v>
      </c>
      <c r="M55" s="16">
        <f>10*LOG10(M56)</f>
        <v>30.287185226033955</v>
      </c>
      <c r="N55" s="17" t="s">
        <v>194</v>
      </c>
      <c r="O55" s="7"/>
    </row>
    <row r="56" spans="1:15" x14ac:dyDescent="0.2">
      <c r="D56" s="7" t="s">
        <v>204</v>
      </c>
      <c r="E56" s="21">
        <f>10^(E55/10)</f>
        <v>83.65290932127057</v>
      </c>
      <c r="F56" s="21">
        <f t="shared" ref="F56" si="5">10^(F55/10)</f>
        <v>217.4413433963208</v>
      </c>
      <c r="G56" s="21">
        <f t="shared" ref="G56" si="6">10^(G55/10)</f>
        <v>305.69063299164219</v>
      </c>
      <c r="H56" s="21">
        <f t="shared" ref="H56" si="7">10^(H55/10)</f>
        <v>264.98551824090646</v>
      </c>
      <c r="I56" s="21">
        <f t="shared" ref="I56" si="8">10^(I55/10)</f>
        <v>138.40830449826964</v>
      </c>
      <c r="J56" s="21">
        <f t="shared" ref="J56" si="9">10^(J55/10)</f>
        <v>45.614420019252783</v>
      </c>
      <c r="K56" s="21">
        <f t="shared" ref="K56" si="10">10^(K55/10)</f>
        <v>10.890358233513528</v>
      </c>
      <c r="L56" s="21">
        <f t="shared" ref="L56" si="11">10^(L55/10)</f>
        <v>1.678735113816372</v>
      </c>
      <c r="M56">
        <f>SUM(E56:L56)</f>
        <v>1068.3622218149924</v>
      </c>
    </row>
  </sheetData>
  <mergeCells count="3">
    <mergeCell ref="A30:N30"/>
    <mergeCell ref="A35:N35"/>
    <mergeCell ref="A39:N3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2054" r:id="rId4">
          <objectPr defaultSize="0" autoPict="0" r:id="rId5">
            <anchor moveWithCells="1">
              <from>
                <xdr:col>9</xdr:col>
                <xdr:colOff>409575</xdr:colOff>
                <xdr:row>34</xdr:row>
                <xdr:rowOff>238125</xdr:rowOff>
              </from>
              <to>
                <xdr:col>11</xdr:col>
                <xdr:colOff>257175</xdr:colOff>
                <xdr:row>36</xdr:row>
                <xdr:rowOff>152400</xdr:rowOff>
              </to>
            </anchor>
          </objectPr>
        </oleObject>
      </mc:Choice>
      <mc:Fallback>
        <oleObject progId="Equation.3" shapeId="20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Form responses 1</vt:lpstr>
      <vt:lpstr>Solution</vt:lpstr>
      <vt:lpstr>A</vt:lpstr>
      <vt:lpstr>B</vt:lpstr>
      <vt:lpstr>CC</vt:lpstr>
      <vt:lpstr>D</vt:lpstr>
      <vt:lpstr>E</vt:lpstr>
      <vt:lpstr>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Farina</dc:creator>
  <cp:lastModifiedBy>Angelo Farina</cp:lastModifiedBy>
  <dcterms:created xsi:type="dcterms:W3CDTF">2019-12-15T14:06:03Z</dcterms:created>
  <dcterms:modified xsi:type="dcterms:W3CDTF">2019-12-15T17:45:49Z</dcterms:modified>
</cp:coreProperties>
</file>