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arina\Corsi\Applied-Acoustics\Tests-2019\"/>
    </mc:Choice>
  </mc:AlternateContent>
  <bookViews>
    <workbookView xWindow="1740" yWindow="-120" windowWidth="28110" windowHeight="16440"/>
  </bookViews>
  <sheets>
    <sheet name="Form responses 1" sheetId="1" r:id="rId1"/>
    <sheet name="Solution" sheetId="2" r:id="rId2"/>
  </sheets>
  <definedNames>
    <definedName name="A">Solution!$B$3</definedName>
    <definedName name="B">Solution!$C$3</definedName>
    <definedName name="CC">Solution!$D$3</definedName>
    <definedName name="D">Solution!$E$3</definedName>
    <definedName name="E">Solution!$F$3</definedName>
    <definedName name="F">Solution!$G$3</definedName>
    <definedName name="l">Solution!$F$47</definedName>
    <definedName name="ll">Solution!$F$50</definedName>
    <definedName name="rr">Solution!$I$47</definedName>
    <definedName name="rrr">Solution!$I$50</definedName>
    <definedName name="S">Solution!#REF!</definedName>
    <definedName name="V">Solution!$F$48</definedName>
    <definedName name="VV">Solution!$F$51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3" i="1" l="1"/>
  <c r="AQ4" i="1"/>
  <c r="AQ5" i="1"/>
  <c r="AQ6" i="1"/>
  <c r="AQ8" i="1"/>
  <c r="AQ9" i="1"/>
  <c r="AQ10" i="1"/>
  <c r="AQ11" i="1"/>
  <c r="AQ12" i="1"/>
  <c r="AQ13" i="1"/>
  <c r="AQ14" i="1"/>
  <c r="AQ15" i="1"/>
  <c r="AQ16" i="1"/>
  <c r="AQ17" i="1"/>
  <c r="AQ18" i="1"/>
  <c r="AQ19" i="1"/>
  <c r="AQ20" i="1"/>
  <c r="AQ21" i="1"/>
  <c r="AQ22" i="1"/>
  <c r="AQ23" i="1"/>
  <c r="AQ24" i="1"/>
  <c r="AQ26" i="1"/>
  <c r="AQ27" i="1"/>
  <c r="AQ28" i="1"/>
  <c r="AQ29" i="1"/>
  <c r="AQ2" i="1"/>
  <c r="AI17" i="1"/>
  <c r="X3" i="1"/>
  <c r="Y3" i="1"/>
  <c r="Z3" i="1"/>
  <c r="AA3" i="1"/>
  <c r="AB3" i="1"/>
  <c r="X4" i="1"/>
  <c r="Y4" i="1"/>
  <c r="Z4" i="1"/>
  <c r="AA4" i="1"/>
  <c r="AB4" i="1"/>
  <c r="X5" i="1"/>
  <c r="Y5" i="1"/>
  <c r="Z5" i="1"/>
  <c r="AA5" i="1"/>
  <c r="AB5" i="1"/>
  <c r="X6" i="1"/>
  <c r="Y6" i="1"/>
  <c r="Z6" i="1"/>
  <c r="AA6" i="1"/>
  <c r="AB6" i="1"/>
  <c r="X7" i="1"/>
  <c r="Y7" i="1"/>
  <c r="Z7" i="1"/>
  <c r="AA7" i="1"/>
  <c r="AB7" i="1"/>
  <c r="X8" i="1"/>
  <c r="Y8" i="1"/>
  <c r="Z8" i="1"/>
  <c r="AA8" i="1"/>
  <c r="AB8" i="1"/>
  <c r="X9" i="1"/>
  <c r="Y9" i="1"/>
  <c r="Z9" i="1"/>
  <c r="AA9" i="1"/>
  <c r="AB9" i="1"/>
  <c r="X10" i="1"/>
  <c r="Y10" i="1"/>
  <c r="Z10" i="1"/>
  <c r="AA10" i="1"/>
  <c r="AB10" i="1"/>
  <c r="X11" i="1"/>
  <c r="Y11" i="1"/>
  <c r="Z11" i="1"/>
  <c r="AA11" i="1"/>
  <c r="AB11" i="1"/>
  <c r="X12" i="1"/>
  <c r="Y12" i="1"/>
  <c r="Z12" i="1"/>
  <c r="AA12" i="1"/>
  <c r="AB12" i="1"/>
  <c r="X13" i="1"/>
  <c r="Y13" i="1"/>
  <c r="Z13" i="1"/>
  <c r="AA13" i="1"/>
  <c r="AB13" i="1"/>
  <c r="X14" i="1"/>
  <c r="Y14" i="1"/>
  <c r="Z14" i="1"/>
  <c r="AA14" i="1"/>
  <c r="AB14" i="1"/>
  <c r="X15" i="1"/>
  <c r="Y15" i="1"/>
  <c r="Z15" i="1"/>
  <c r="AA15" i="1"/>
  <c r="AB15" i="1"/>
  <c r="X16" i="1"/>
  <c r="Y16" i="1"/>
  <c r="Z16" i="1"/>
  <c r="AA16" i="1"/>
  <c r="AB16" i="1"/>
  <c r="X17" i="1"/>
  <c r="Y17" i="1"/>
  <c r="Z17" i="1"/>
  <c r="AA17" i="1"/>
  <c r="AB17" i="1"/>
  <c r="X18" i="1"/>
  <c r="Y18" i="1"/>
  <c r="Z18" i="1"/>
  <c r="AA18" i="1"/>
  <c r="AB18" i="1"/>
  <c r="X19" i="1"/>
  <c r="Y19" i="1"/>
  <c r="Z19" i="1"/>
  <c r="AA19" i="1"/>
  <c r="AB19" i="1"/>
  <c r="X20" i="1"/>
  <c r="Y20" i="1"/>
  <c r="Z20" i="1"/>
  <c r="AA20" i="1"/>
  <c r="AB20" i="1"/>
  <c r="X21" i="1"/>
  <c r="Y21" i="1"/>
  <c r="Z21" i="1"/>
  <c r="AA21" i="1"/>
  <c r="AB21" i="1"/>
  <c r="X22" i="1"/>
  <c r="Y22" i="1"/>
  <c r="Z22" i="1"/>
  <c r="AA22" i="1"/>
  <c r="AB22" i="1"/>
  <c r="X23" i="1"/>
  <c r="Y23" i="1"/>
  <c r="Z23" i="1"/>
  <c r="AA23" i="1"/>
  <c r="AB23" i="1"/>
  <c r="X24" i="1"/>
  <c r="Y24" i="1"/>
  <c r="Z24" i="1"/>
  <c r="AA24" i="1"/>
  <c r="AB24" i="1"/>
  <c r="X25" i="1"/>
  <c r="Y25" i="1"/>
  <c r="Z25" i="1"/>
  <c r="AA25" i="1"/>
  <c r="AB25" i="1"/>
  <c r="X26" i="1"/>
  <c r="Y26" i="1"/>
  <c r="Z26" i="1"/>
  <c r="AA26" i="1"/>
  <c r="AB26" i="1"/>
  <c r="X27" i="1"/>
  <c r="Y27" i="1"/>
  <c r="Z27" i="1"/>
  <c r="AA27" i="1"/>
  <c r="AB27" i="1"/>
  <c r="X28" i="1"/>
  <c r="Y28" i="1"/>
  <c r="Z28" i="1"/>
  <c r="AA28" i="1"/>
  <c r="AB28" i="1"/>
  <c r="X29" i="1"/>
  <c r="Y29" i="1"/>
  <c r="Z29" i="1"/>
  <c r="AA29" i="1"/>
  <c r="AB29" i="1"/>
  <c r="AB2" i="1"/>
  <c r="AA2" i="1"/>
  <c r="Z2" i="1"/>
  <c r="Y2" i="1"/>
  <c r="X2" i="1"/>
  <c r="R3" i="1"/>
  <c r="S3" i="1"/>
  <c r="T3" i="1"/>
  <c r="U3" i="1"/>
  <c r="V3" i="1"/>
  <c r="R4" i="1"/>
  <c r="S4" i="1"/>
  <c r="T4" i="1"/>
  <c r="U4" i="1"/>
  <c r="V4" i="1"/>
  <c r="R5" i="1"/>
  <c r="S5" i="1"/>
  <c r="T5" i="1"/>
  <c r="U5" i="1"/>
  <c r="V5" i="1"/>
  <c r="R6" i="1"/>
  <c r="S6" i="1"/>
  <c r="T6" i="1"/>
  <c r="U6" i="1"/>
  <c r="V6" i="1"/>
  <c r="R7" i="1"/>
  <c r="S7" i="1"/>
  <c r="T7" i="1"/>
  <c r="U7" i="1"/>
  <c r="V7" i="1"/>
  <c r="R8" i="1"/>
  <c r="S8" i="1"/>
  <c r="T8" i="1"/>
  <c r="U8" i="1"/>
  <c r="V8" i="1"/>
  <c r="R9" i="1"/>
  <c r="S9" i="1"/>
  <c r="T9" i="1"/>
  <c r="U9" i="1"/>
  <c r="V9" i="1"/>
  <c r="R10" i="1"/>
  <c r="S10" i="1"/>
  <c r="T10" i="1"/>
  <c r="U10" i="1"/>
  <c r="V10" i="1"/>
  <c r="R11" i="1"/>
  <c r="S11" i="1"/>
  <c r="T11" i="1"/>
  <c r="U11" i="1"/>
  <c r="V11" i="1"/>
  <c r="R12" i="1"/>
  <c r="S12" i="1"/>
  <c r="T12" i="1"/>
  <c r="U12" i="1"/>
  <c r="V12" i="1"/>
  <c r="R13" i="1"/>
  <c r="S13" i="1"/>
  <c r="T13" i="1"/>
  <c r="U13" i="1"/>
  <c r="V13" i="1"/>
  <c r="R14" i="1"/>
  <c r="S14" i="1"/>
  <c r="T14" i="1"/>
  <c r="U14" i="1"/>
  <c r="V14" i="1"/>
  <c r="R15" i="1"/>
  <c r="S15" i="1"/>
  <c r="T15" i="1"/>
  <c r="U15" i="1"/>
  <c r="V15" i="1"/>
  <c r="R16" i="1"/>
  <c r="S16" i="1"/>
  <c r="T16" i="1"/>
  <c r="U16" i="1"/>
  <c r="V16" i="1"/>
  <c r="R17" i="1"/>
  <c r="S17" i="1"/>
  <c r="T17" i="1"/>
  <c r="U17" i="1"/>
  <c r="V17" i="1"/>
  <c r="R18" i="1"/>
  <c r="S18" i="1"/>
  <c r="T18" i="1"/>
  <c r="U18" i="1"/>
  <c r="V18" i="1"/>
  <c r="R19" i="1"/>
  <c r="S19" i="1"/>
  <c r="T19" i="1"/>
  <c r="U19" i="1"/>
  <c r="V19" i="1"/>
  <c r="R20" i="1"/>
  <c r="S20" i="1"/>
  <c r="T20" i="1"/>
  <c r="U20" i="1"/>
  <c r="V20" i="1"/>
  <c r="R21" i="1"/>
  <c r="S21" i="1"/>
  <c r="T21" i="1"/>
  <c r="U21" i="1"/>
  <c r="V21" i="1"/>
  <c r="R22" i="1"/>
  <c r="S22" i="1"/>
  <c r="T22" i="1"/>
  <c r="U22" i="1"/>
  <c r="V22" i="1"/>
  <c r="R23" i="1"/>
  <c r="S23" i="1"/>
  <c r="T23" i="1"/>
  <c r="U23" i="1"/>
  <c r="V23" i="1"/>
  <c r="R24" i="1"/>
  <c r="S24" i="1"/>
  <c r="T24" i="1"/>
  <c r="U24" i="1"/>
  <c r="V24" i="1"/>
  <c r="R25" i="1"/>
  <c r="S25" i="1"/>
  <c r="T25" i="1"/>
  <c r="U25" i="1"/>
  <c r="V25" i="1"/>
  <c r="R26" i="1"/>
  <c r="S26" i="1"/>
  <c r="T26" i="1"/>
  <c r="U26" i="1"/>
  <c r="V26" i="1"/>
  <c r="R27" i="1"/>
  <c r="S27" i="1"/>
  <c r="T27" i="1"/>
  <c r="U27" i="1"/>
  <c r="V27" i="1"/>
  <c r="R28" i="1"/>
  <c r="S28" i="1"/>
  <c r="T28" i="1"/>
  <c r="U28" i="1"/>
  <c r="V28" i="1"/>
  <c r="R29" i="1"/>
  <c r="S29" i="1"/>
  <c r="T29" i="1"/>
  <c r="U29" i="1"/>
  <c r="V29" i="1"/>
  <c r="V2" i="1"/>
  <c r="U2" i="1"/>
  <c r="T2" i="1"/>
  <c r="S2" i="1"/>
  <c r="R2" i="1"/>
  <c r="I50" i="2" l="1"/>
  <c r="I48" i="2"/>
  <c r="F48" i="2"/>
  <c r="I47" i="2"/>
  <c r="F47" i="2"/>
  <c r="J43" i="2" l="1"/>
  <c r="G43" i="2"/>
  <c r="J44" i="2" s="1"/>
  <c r="G39" i="2"/>
  <c r="G40" i="2" s="1"/>
  <c r="K39" i="2" s="1"/>
  <c r="L40" i="2" s="1"/>
  <c r="E36" i="2"/>
  <c r="B36" i="2"/>
  <c r="F3" i="1"/>
  <c r="G3" i="1" s="1"/>
  <c r="H3" i="1" s="1"/>
  <c r="I3" i="1" s="1"/>
  <c r="F4" i="1"/>
  <c r="G4" i="1"/>
  <c r="H4" i="1" s="1"/>
  <c r="F5" i="1"/>
  <c r="G5" i="1" s="1"/>
  <c r="H5" i="1" s="1"/>
  <c r="F6" i="1"/>
  <c r="G6" i="1" s="1"/>
  <c r="F7" i="1"/>
  <c r="G7" i="1" s="1"/>
  <c r="F8" i="1"/>
  <c r="G8" i="1"/>
  <c r="F9" i="1"/>
  <c r="G9" i="1" s="1"/>
  <c r="F10" i="1"/>
  <c r="G10" i="1"/>
  <c r="F11" i="1"/>
  <c r="G11" i="1" s="1"/>
  <c r="F12" i="1"/>
  <c r="G12" i="1" s="1"/>
  <c r="F13" i="1"/>
  <c r="G13" i="1" s="1"/>
  <c r="F14" i="1"/>
  <c r="G14" i="1" s="1"/>
  <c r="F15" i="1"/>
  <c r="F16" i="1"/>
  <c r="G16" i="1" s="1"/>
  <c r="F17" i="1"/>
  <c r="F18" i="1"/>
  <c r="G18" i="1" s="1"/>
  <c r="F19" i="1"/>
  <c r="G19" i="1" s="1"/>
  <c r="F20" i="1"/>
  <c r="G20" i="1" s="1"/>
  <c r="F21" i="1"/>
  <c r="G21" i="1" s="1"/>
  <c r="F22" i="1"/>
  <c r="F23" i="1"/>
  <c r="G23" i="1" s="1"/>
  <c r="F24" i="1"/>
  <c r="G24" i="1" s="1"/>
  <c r="F25" i="1"/>
  <c r="F26" i="1"/>
  <c r="G26" i="1" s="1"/>
  <c r="F27" i="1"/>
  <c r="G27" i="1" s="1"/>
  <c r="F28" i="1"/>
  <c r="G28" i="1" s="1"/>
  <c r="F29" i="1"/>
  <c r="F2" i="1"/>
  <c r="H13" i="1" l="1"/>
  <c r="I13" i="1" s="1"/>
  <c r="H11" i="1"/>
  <c r="H21" i="1"/>
  <c r="H19" i="1"/>
  <c r="I19" i="1"/>
  <c r="H7" i="1"/>
  <c r="I7" i="1" s="1"/>
  <c r="H8" i="1"/>
  <c r="I8" i="1" s="1"/>
  <c r="H18" i="1"/>
  <c r="G22" i="1"/>
  <c r="H12" i="1"/>
  <c r="H26" i="1"/>
  <c r="H24" i="1"/>
  <c r="I24" i="1" s="1"/>
  <c r="H16" i="1"/>
  <c r="I16" i="1" s="1"/>
  <c r="H27" i="1"/>
  <c r="I27" i="1" s="1"/>
  <c r="I11" i="1"/>
  <c r="I21" i="1"/>
  <c r="I4" i="1"/>
  <c r="H10" i="1"/>
  <c r="I10" i="1" s="1"/>
  <c r="G29" i="1"/>
  <c r="H29" i="1" s="1"/>
  <c r="I29" i="1" s="1"/>
  <c r="G17" i="1"/>
  <c r="H17" i="1" s="1"/>
  <c r="H23" i="1"/>
  <c r="I23" i="1" s="1"/>
  <c r="H9" i="1"/>
  <c r="I9" i="1" s="1"/>
  <c r="G25" i="1"/>
  <c r="H28" i="1"/>
  <c r="I28" i="1" s="1"/>
  <c r="H20" i="1"/>
  <c r="H14" i="1"/>
  <c r="H6" i="1"/>
  <c r="I6" i="1" s="1"/>
  <c r="K36" i="2"/>
  <c r="I5" i="1"/>
  <c r="G15" i="1"/>
  <c r="H15" i="1" s="1"/>
  <c r="J3" i="1"/>
  <c r="G2" i="1"/>
  <c r="H2" i="1" s="1"/>
  <c r="J13" i="1" l="1"/>
  <c r="J7" i="1"/>
  <c r="J29" i="1"/>
  <c r="K29" i="1" s="1"/>
  <c r="AO29" i="1" s="1"/>
  <c r="J4" i="1"/>
  <c r="J10" i="1"/>
  <c r="J28" i="1"/>
  <c r="J19" i="1"/>
  <c r="K19" i="1" s="1"/>
  <c r="J11" i="1"/>
  <c r="H22" i="1"/>
  <c r="I22" i="1" s="1"/>
  <c r="J21" i="1"/>
  <c r="K7" i="1"/>
  <c r="K3" i="1"/>
  <c r="AG3" i="1"/>
  <c r="AI3" i="1" s="1"/>
  <c r="J16" i="1"/>
  <c r="K13" i="1"/>
  <c r="AO13" i="1" s="1"/>
  <c r="J9" i="1"/>
  <c r="J5" i="1"/>
  <c r="J23" i="1"/>
  <c r="I18" i="1"/>
  <c r="I12" i="1"/>
  <c r="I26" i="1"/>
  <c r="J27" i="1"/>
  <c r="J8" i="1"/>
  <c r="I17" i="1"/>
  <c r="I14" i="1"/>
  <c r="K28" i="1"/>
  <c r="AO28" i="1" s="1"/>
  <c r="I20" i="1"/>
  <c r="J6" i="1"/>
  <c r="J20" i="1"/>
  <c r="K16" i="1"/>
  <c r="AO16" i="1" s="1"/>
  <c r="J24" i="1"/>
  <c r="H25" i="1"/>
  <c r="I25" i="1" s="1"/>
  <c r="K5" i="1"/>
  <c r="I15" i="1"/>
  <c r="I2" i="1"/>
  <c r="AK19" i="1" l="1"/>
  <c r="AM19" i="1" s="1"/>
  <c r="AD19" i="1"/>
  <c r="AE19" i="1" s="1"/>
  <c r="J25" i="1"/>
  <c r="K8" i="1"/>
  <c r="AG8" i="1" s="1"/>
  <c r="AI8" i="1" s="1"/>
  <c r="K21" i="1"/>
  <c r="AG5" i="1"/>
  <c r="AI5" i="1" s="1"/>
  <c r="AG29" i="1"/>
  <c r="J22" i="1"/>
  <c r="AD7" i="1"/>
  <c r="AE7" i="1" s="1"/>
  <c r="AK7" i="1"/>
  <c r="AM7" i="1" s="1"/>
  <c r="K24" i="1"/>
  <c r="AG24" i="1" s="1"/>
  <c r="AI24" i="1" s="1"/>
  <c r="K23" i="1"/>
  <c r="AO19" i="1"/>
  <c r="AG20" i="1"/>
  <c r="AI20" i="1" s="1"/>
  <c r="K6" i="1"/>
  <c r="AG6" i="1" s="1"/>
  <c r="AI6" i="1" s="1"/>
  <c r="AG16" i="1"/>
  <c r="AI16" i="1" s="1"/>
  <c r="AO7" i="1"/>
  <c r="AQ7" i="1" s="1"/>
  <c r="J17" i="1"/>
  <c r="AG7" i="1"/>
  <c r="AI7" i="1" s="1"/>
  <c r="AD29" i="1"/>
  <c r="AK29" i="1"/>
  <c r="K10" i="1"/>
  <c r="AG10" i="1" s="1"/>
  <c r="K27" i="1"/>
  <c r="J12" i="1"/>
  <c r="AO20" i="1"/>
  <c r="AG19" i="1"/>
  <c r="AI19" i="1" s="1"/>
  <c r="J2" i="1"/>
  <c r="K9" i="1"/>
  <c r="AG9" i="1" s="1"/>
  <c r="AI9" i="1" s="1"/>
  <c r="J18" i="1"/>
  <c r="K18" i="1" s="1"/>
  <c r="AK3" i="1"/>
  <c r="AM3" i="1" s="1"/>
  <c r="AD3" i="1"/>
  <c r="AE3" i="1" s="1"/>
  <c r="AR3" i="1" s="1"/>
  <c r="AO3" i="1"/>
  <c r="AG28" i="1"/>
  <c r="AI28" i="1" s="1"/>
  <c r="AK5" i="1"/>
  <c r="AM5" i="1" s="1"/>
  <c r="AD5" i="1"/>
  <c r="AE5" i="1" s="1"/>
  <c r="AO5" i="1"/>
  <c r="K4" i="1"/>
  <c r="AG4" i="1"/>
  <c r="AI4" i="1" s="1"/>
  <c r="AD16" i="1"/>
  <c r="AE16" i="1" s="1"/>
  <c r="AK16" i="1"/>
  <c r="J26" i="1"/>
  <c r="AD13" i="1"/>
  <c r="AE13" i="1" s="1"/>
  <c r="AK13" i="1"/>
  <c r="AM13" i="1" s="1"/>
  <c r="K11" i="1"/>
  <c r="AG11" i="1" s="1"/>
  <c r="AI11" i="1" s="1"/>
  <c r="AD28" i="1"/>
  <c r="AE28" i="1" s="1"/>
  <c r="AK28" i="1"/>
  <c r="AM28" i="1" s="1"/>
  <c r="AG13" i="1"/>
  <c r="AI13" i="1" s="1"/>
  <c r="K20" i="1"/>
  <c r="J14" i="1"/>
  <c r="K25" i="1"/>
  <c r="J15" i="1"/>
  <c r="K2" i="1"/>
  <c r="AO2" i="1" s="1"/>
  <c r="AD27" i="1" l="1"/>
  <c r="AE27" i="1" s="1"/>
  <c r="AK27" i="1"/>
  <c r="AM27" i="1" s="1"/>
  <c r="AO27" i="1"/>
  <c r="AK25" i="1"/>
  <c r="AM25" i="1" s="1"/>
  <c r="AD25" i="1"/>
  <c r="AE25" i="1" s="1"/>
  <c r="AD21" i="1"/>
  <c r="AE21" i="1" s="1"/>
  <c r="AK21" i="1"/>
  <c r="AM21" i="1" s="1"/>
  <c r="AO21" i="1"/>
  <c r="K14" i="1"/>
  <c r="AG14" i="1"/>
  <c r="AI14" i="1" s="1"/>
  <c r="K26" i="1"/>
  <c r="AG26" i="1" s="1"/>
  <c r="AI26" i="1" s="1"/>
  <c r="AG18" i="1"/>
  <c r="AI18" i="1" s="1"/>
  <c r="AR29" i="1"/>
  <c r="AD23" i="1"/>
  <c r="AE23" i="1" s="1"/>
  <c r="AK23" i="1"/>
  <c r="AM23" i="1" s="1"/>
  <c r="AO23" i="1"/>
  <c r="AG21" i="1"/>
  <c r="AI21" i="1" s="1"/>
  <c r="AD20" i="1"/>
  <c r="AE20" i="1" s="1"/>
  <c r="AK20" i="1"/>
  <c r="AM20" i="1" s="1"/>
  <c r="AR16" i="1"/>
  <c r="AG27" i="1"/>
  <c r="AI27" i="1" s="1"/>
  <c r="AD24" i="1"/>
  <c r="AE24" i="1" s="1"/>
  <c r="AK24" i="1"/>
  <c r="AM24" i="1" s="1"/>
  <c r="AO24" i="1"/>
  <c r="AD8" i="1"/>
  <c r="AE8" i="1" s="1"/>
  <c r="AK8" i="1"/>
  <c r="AM8" i="1" s="1"/>
  <c r="AO8" i="1"/>
  <c r="AG2" i="1"/>
  <c r="AI2" i="1" s="1"/>
  <c r="AO25" i="1"/>
  <c r="AQ25" i="1" s="1"/>
  <c r="AK18" i="1"/>
  <c r="AM18" i="1" s="1"/>
  <c r="AD18" i="1"/>
  <c r="AE18" i="1" s="1"/>
  <c r="AK4" i="1"/>
  <c r="AM4" i="1" s="1"/>
  <c r="AD4" i="1"/>
  <c r="AE4" i="1" s="1"/>
  <c r="AR4" i="1" s="1"/>
  <c r="AO4" i="1"/>
  <c r="K17" i="1"/>
  <c r="AR7" i="1"/>
  <c r="AG25" i="1"/>
  <c r="AI25" i="1" s="1"/>
  <c r="AR13" i="1"/>
  <c r="AR19" i="1"/>
  <c r="AD2" i="1"/>
  <c r="AE2" i="1" s="1"/>
  <c r="AK2" i="1"/>
  <c r="AM2" i="1" s="1"/>
  <c r="K15" i="1"/>
  <c r="AG15" i="1" s="1"/>
  <c r="AI15" i="1" s="1"/>
  <c r="AD9" i="1"/>
  <c r="AE9" i="1" s="1"/>
  <c r="AK9" i="1"/>
  <c r="AM9" i="1" s="1"/>
  <c r="AO9" i="1"/>
  <c r="AO18" i="1"/>
  <c r="AR5" i="1"/>
  <c r="AR28" i="1"/>
  <c r="AG23" i="1"/>
  <c r="AI23" i="1" s="1"/>
  <c r="AK10" i="1"/>
  <c r="AD10" i="1"/>
  <c r="AE10" i="1" s="1"/>
  <c r="AR10" i="1" s="1"/>
  <c r="AO10" i="1"/>
  <c r="AK11" i="1"/>
  <c r="AM11" i="1" s="1"/>
  <c r="AD11" i="1"/>
  <c r="AE11" i="1" s="1"/>
  <c r="AO11" i="1"/>
  <c r="K12" i="1"/>
  <c r="AK6" i="1"/>
  <c r="AM6" i="1" s="1"/>
  <c r="AD6" i="1"/>
  <c r="AE6" i="1" s="1"/>
  <c r="AR6" i="1" s="1"/>
  <c r="AO6" i="1"/>
  <c r="K22" i="1"/>
  <c r="AG22" i="1" s="1"/>
  <c r="AI22" i="1" s="1"/>
  <c r="AR24" i="1" l="1"/>
  <c r="AR20" i="1"/>
  <c r="AR11" i="1"/>
  <c r="AK12" i="1"/>
  <c r="AM12" i="1" s="1"/>
  <c r="AD12" i="1"/>
  <c r="AE12" i="1" s="1"/>
  <c r="AO12" i="1"/>
  <c r="AD17" i="1"/>
  <c r="AE17" i="1" s="1"/>
  <c r="AK17" i="1"/>
  <c r="AM17" i="1" s="1"/>
  <c r="AO17" i="1"/>
  <c r="AD14" i="1"/>
  <c r="AE14" i="1" s="1"/>
  <c r="AK14" i="1"/>
  <c r="AM14" i="1" s="1"/>
  <c r="AO14" i="1"/>
  <c r="AD15" i="1"/>
  <c r="AE15" i="1" s="1"/>
  <c r="AK15" i="1"/>
  <c r="AM15" i="1" s="1"/>
  <c r="AO15" i="1"/>
  <c r="AR18" i="1"/>
  <c r="AR2" i="1"/>
  <c r="AR21" i="1"/>
  <c r="AD26" i="1"/>
  <c r="AE26" i="1" s="1"/>
  <c r="AK26" i="1"/>
  <c r="AM26" i="1" s="1"/>
  <c r="AO26" i="1"/>
  <c r="AR25" i="1"/>
  <c r="AR9" i="1"/>
  <c r="AR23" i="1"/>
  <c r="AR8" i="1"/>
  <c r="AD22" i="1"/>
  <c r="AE22" i="1" s="1"/>
  <c r="AK22" i="1"/>
  <c r="AM22" i="1" s="1"/>
  <c r="AO22" i="1"/>
  <c r="AG12" i="1"/>
  <c r="AI12" i="1" s="1"/>
  <c r="AG17" i="1"/>
  <c r="AR27" i="1"/>
  <c r="AR14" i="1" l="1"/>
  <c r="AR22" i="1"/>
  <c r="AR15" i="1"/>
  <c r="AR17" i="1"/>
  <c r="AR26" i="1"/>
  <c r="AR12" i="1"/>
</calcChain>
</file>

<file path=xl/sharedStrings.xml><?xml version="1.0" encoding="utf-8"?>
<sst xmlns="http://schemas.openxmlformats.org/spreadsheetml/2006/main" count="414" uniqueCount="208">
  <si>
    <t>Timestamp</t>
  </si>
  <si>
    <t>Email address</t>
  </si>
  <si>
    <t>Surname and Name</t>
  </si>
  <si>
    <t>Matricula</t>
  </si>
  <si>
    <t>1) What is the definition of  Modulation Transfer Function ?</t>
  </si>
  <si>
    <t>2) An exponential sine sweep is convolved with the time reversal of itself (instead of using its matched, amplitude-modulated inverse filter). What will be the spectral slope of the resulting impulse signal, as shown by an FFT analysis?</t>
  </si>
  <si>
    <t>3) What are the benefits of a clapping machine instead of other impulsive sources (such as balloons, pistols, firecracker, loudspeaker, etc.) ?</t>
  </si>
  <si>
    <t>4) Select only the CORRECT facts</t>
  </si>
  <si>
    <t>5) In a noiseless classroom, the value of the MTF (Modulation Transfer Function) is equal to 0.5+F/20. Recompute the value of MTF when noise is added, with a Signal/Noise ratio of 5+E dB</t>
  </si>
  <si>
    <t>6) In a room, with a volume V=150+EF m³, and with an initial reverberation time of 3+E s, a total surface of 100+DE m² of sound absorbing panels is inserted, having an absorption coefficient α = 0.5+F/50. Compute the reverberant sound level reduction ΔL=L1-L2 caused by the increase of sound absorption.</t>
  </si>
  <si>
    <t>7) A vibrating panel is made of wood (having a density of 700+F*10 kg/m³), a thickness of 3+E/5 mm, and is mounted with a rear air gap of 50+D mm in front of a rigid wall. Compute the frequency of maximum absorption.</t>
  </si>
  <si>
    <t>8) A perforated rigid panel operates as a number of Helmoltz resonators. It has a thickness of 3+E/5 mm, and each squared meter carries a total of 100+F*20 holes, each with a diameter of 2+D/10 mm. The rear air gap is 50+D mm in front of a rigid wall. Compute the frequency of maximum absorption.</t>
  </si>
  <si>
    <t>0 dB/octave - flat (white)</t>
  </si>
  <si>
    <t>matteo.cappelli@studenti.unipr.it</t>
  </si>
  <si>
    <t xml:space="preserve">Matteo Cappelli </t>
  </si>
  <si>
    <t>The ratio between modulation of the received sound and the initial modulation</t>
  </si>
  <si>
    <t>Low cost, Almost perfectly flat spectrum, Highly reproducible</t>
  </si>
  <si>
    <t>A sound absorber is light, soft and porous, instead a sound insulating panel is heavy, rigid and airtight, α is the coefficient usually declared by the manufacturer for a sound absorbing material, In case of discrete objects, such as suspended baffles or seats, instead of providing the value of α, the manufacturer usually provides directly the value of A, in m².</t>
  </si>
  <si>
    <t>12.87 dB</t>
  </si>
  <si>
    <t>150.89 Hz</t>
  </si>
  <si>
    <t>francesco.masini@studenti.unipr.it</t>
  </si>
  <si>
    <t>Masini Francesco</t>
  </si>
  <si>
    <t>-6 dB/octave (brown)</t>
  </si>
  <si>
    <t>Low cost, Highly reproducible</t>
  </si>
  <si>
    <t>13.19 dB</t>
  </si>
  <si>
    <t>143.92 Hz</t>
  </si>
  <si>
    <t>lakshmivenkatasaikumarreddy.ganta@studenti.unipr.it</t>
  </si>
  <si>
    <t>GANTA Lakshmi Venkata Sai Kumar Reddy</t>
  </si>
  <si>
    <t>Low cost, Highly reproducible, Omnidirectional</t>
  </si>
  <si>
    <t>11.669 dB</t>
  </si>
  <si>
    <t>164.42 Hz</t>
  </si>
  <si>
    <t>giorgio.lodigiani@studenti.unipr.it</t>
  </si>
  <si>
    <t>Lodigiani Giorgio</t>
  </si>
  <si>
    <t>-3 dB/octave (pink)</t>
  </si>
  <si>
    <t>Low cost, Highly reproducible, Large acoustical power</t>
  </si>
  <si>
    <t>A sound absorber is light, soft and porous, instead a sound insulating panel is heavy, rigid and airtight, a, r and t are commonly employed coefficients, usually found on the data sheet of every material, α is the coefficient usually declared by the manufacturer for a sound absorbing material</t>
  </si>
  <si>
    <t>14 dB</t>
  </si>
  <si>
    <t>145.3 Hz</t>
  </si>
  <si>
    <t>behrang.mahmoudi@studenti.unipr.it</t>
  </si>
  <si>
    <t>Mahmoudi Behrang</t>
  </si>
  <si>
    <t>Low cost, Almost perfectly flat spectrum</t>
  </si>
  <si>
    <t>12.4 dB</t>
  </si>
  <si>
    <t>158.7 Hz</t>
  </si>
  <si>
    <t>peninagreen.mbwilo@studenti.unipr.it</t>
  </si>
  <si>
    <t>MBWILO, PENINA GREEN</t>
  </si>
  <si>
    <t>Low cost, Omnidirectional</t>
  </si>
  <si>
    <t>Usually a good sound absorbing material is also a good sound insulating material, A sound absorber is light, soft and porous, instead a sound insulating panel is heavy, rigid and airtight</t>
  </si>
  <si>
    <t>12.4447 dB</t>
  </si>
  <si>
    <t>5.02096 Hz</t>
  </si>
  <si>
    <t>9.63897  Hz</t>
  </si>
  <si>
    <t>enrico.zoboli@studenti.unipr.it</t>
  </si>
  <si>
    <t>Zoboli Enrico</t>
  </si>
  <si>
    <t>9.3 dB</t>
  </si>
  <si>
    <t>179.5 Hz</t>
  </si>
  <si>
    <t>francesco.bernardi1@studenti.unipr.it</t>
  </si>
  <si>
    <t>Bernardi Francesco</t>
  </si>
  <si>
    <t>12.7 dB</t>
  </si>
  <si>
    <t>157.7 Hz</t>
  </si>
  <si>
    <t>jayaprakashreddy.chinnamaru@studenti.unipr.it</t>
  </si>
  <si>
    <t>CHINNAMARU JAYAPRAKASH REDDY</t>
  </si>
  <si>
    <t>14.794db</t>
  </si>
  <si>
    <t>134.53hz</t>
  </si>
  <si>
    <t>riccardo.brunori@studenti.unipr.it</t>
  </si>
  <si>
    <t>Brunori Riccardo</t>
  </si>
  <si>
    <t>Low cost, Large acoustical power</t>
  </si>
  <si>
    <t>11.041 dB</t>
  </si>
  <si>
    <t>165.88 Hz</t>
  </si>
  <si>
    <t>susanna.parmigiani@studenti.unipr.it</t>
  </si>
  <si>
    <t>parmigiani susanna</t>
  </si>
  <si>
    <t>12.6 dB</t>
  </si>
  <si>
    <t>157.3 Hz</t>
  </si>
  <si>
    <t>salman.gazi@studenti.unipr.it</t>
  </si>
  <si>
    <t>GAZI SALMAN</t>
  </si>
  <si>
    <t>10.59220693 dB</t>
  </si>
  <si>
    <t>166.66 Hz</t>
  </si>
  <si>
    <t>luca.zaccardi@studenti.unipr.it</t>
  </si>
  <si>
    <t>Zaccardi Luca</t>
  </si>
  <si>
    <t>9.4 dB</t>
  </si>
  <si>
    <t>41.38 Hz</t>
  </si>
  <si>
    <t>francesca.aimi1@studenti.unipr.it</t>
  </si>
  <si>
    <t>Aimi Francesca</t>
  </si>
  <si>
    <t>15.2 dB</t>
  </si>
  <si>
    <t>132.2 Hz</t>
  </si>
  <si>
    <t>fabian.difeliciantonio@studenti.unipr.it</t>
  </si>
  <si>
    <t>Di Feliciantonio Fabian</t>
  </si>
  <si>
    <t>13.17 dB</t>
  </si>
  <si>
    <t>10.22 HZ</t>
  </si>
  <si>
    <t>anatolij.borroni@studenti.unipr.it</t>
  </si>
  <si>
    <t>Borroni Anatolij</t>
  </si>
  <si>
    <t>A sound absorber is light, soft and porous, instead a sound insulating panel is heavy, rigid and airtight, a, r and t are commonly employed coefficients, usually found on the data sheet of every material, In case of discrete objects, such as suspended baffles or seats, instead of providing the value of α, the manufacturer usually provides directly the value of A, in m².</t>
  </si>
  <si>
    <t>36.2 Hz</t>
  </si>
  <si>
    <t>alice.bolzoni1@studenti.unipr.it</t>
  </si>
  <si>
    <t xml:space="preserve">Alice Bolzoni </t>
  </si>
  <si>
    <t>13.405 dB</t>
  </si>
  <si>
    <t>146.312 Hz</t>
  </si>
  <si>
    <t>michelangelo.federico@studenti.unipr.it</t>
  </si>
  <si>
    <t>Federico Michelangelo</t>
  </si>
  <si>
    <t>Low cost, Almost perfectly flat spectrum, Large acoustical power</t>
  </si>
  <si>
    <t>14.766 dB</t>
  </si>
  <si>
    <t>136.133 Hz</t>
  </si>
  <si>
    <t>venkatarakesh.yelloji@studenti.unipr.it</t>
  </si>
  <si>
    <t>YELLOJI VENKATA RAKESH</t>
  </si>
  <si>
    <t>13.92 dB</t>
  </si>
  <si>
    <t>147.73 Hz</t>
  </si>
  <si>
    <t>kristian.shaka@studenti.unipr.it</t>
  </si>
  <si>
    <t>Shaka Kristian</t>
  </si>
  <si>
    <t>12.2 dB</t>
  </si>
  <si>
    <t>151.18 Hz</t>
  </si>
  <si>
    <t>andrea.fois@studenti.unipr.it</t>
  </si>
  <si>
    <t>Andrea FOis</t>
  </si>
  <si>
    <t>14.8 dB</t>
  </si>
  <si>
    <t>135.9 Hz</t>
  </si>
  <si>
    <t>francesco.vetere@studenti.unipr.it</t>
  </si>
  <si>
    <t>Vetere Francesco</t>
  </si>
  <si>
    <t>12.46 dB</t>
  </si>
  <si>
    <t>157.89 Hz</t>
  </si>
  <si>
    <t>giulia.magnani3@studenti.unipr.it</t>
  </si>
  <si>
    <t>Magnani Giulia</t>
  </si>
  <si>
    <t>26.35 dB</t>
  </si>
  <si>
    <t>131.25 Hz</t>
  </si>
  <si>
    <t>constantin.lozinschi@studenti.unipr.it</t>
  </si>
  <si>
    <t>Lozinschi Constantin</t>
  </si>
  <si>
    <t>Low cost, Almost perfectly flat spectrum, Highly reproducible, Large acoustical power</t>
  </si>
  <si>
    <t>15.649 dB</t>
  </si>
  <si>
    <t>130.44 Hz</t>
  </si>
  <si>
    <t>371635.62 Hz</t>
  </si>
  <si>
    <t>elisa.conti2@studenti.unipr.it</t>
  </si>
  <si>
    <t>Conti Elisa</t>
  </si>
  <si>
    <t>14.2 dB</t>
  </si>
  <si>
    <t>143.2 Hz</t>
  </si>
  <si>
    <t>tiziana.candela@studenti.unipr.it</t>
  </si>
  <si>
    <t>Candela Tiziana</t>
  </si>
  <si>
    <t>13.69 dB</t>
  </si>
  <si>
    <t>142.95 Hz</t>
  </si>
  <si>
    <t>elisa.catellani@studenti.unipr.it</t>
  </si>
  <si>
    <t>Catellani Elisa</t>
  </si>
  <si>
    <t>15.19 dB</t>
  </si>
  <si>
    <t>135.03 Hz</t>
  </si>
  <si>
    <t>frankkija.charles@studenti.unipr.it</t>
  </si>
  <si>
    <t>CHARLES FRANK KIJA</t>
  </si>
  <si>
    <t>MTF = 0.542</t>
  </si>
  <si>
    <t>L1-L2 = 12.145 dB</t>
  </si>
  <si>
    <t>N.</t>
  </si>
  <si>
    <t>A</t>
  </si>
  <si>
    <t>B</t>
  </si>
  <si>
    <t>C</t>
  </si>
  <si>
    <t>D</t>
  </si>
  <si>
    <t>E</t>
  </si>
  <si>
    <t>F</t>
  </si>
  <si>
    <t>Online bonus</t>
  </si>
  <si>
    <t>(one answer only)</t>
  </si>
  <si>
    <r>
      <t>¡</t>
    </r>
    <r>
      <rPr>
        <sz val="7"/>
        <color rgb="FF000000"/>
        <rFont val="Times New Roman"/>
        <family val="1"/>
      </rPr>
      <t xml:space="preserve">  </t>
    </r>
    <r>
      <rPr>
        <sz val="11"/>
        <color rgb="FF000000"/>
        <rFont val="Calibri"/>
        <family val="2"/>
      </rPr>
      <t>The reduction of modulation due to noise and echoes</t>
    </r>
  </si>
  <si>
    <r>
      <t>¡</t>
    </r>
    <r>
      <rPr>
        <sz val="7"/>
        <color rgb="FF000000"/>
        <rFont val="Times New Roman"/>
        <family val="1"/>
      </rPr>
      <t xml:space="preserve">  </t>
    </r>
    <r>
      <rPr>
        <sz val="11"/>
        <color rgb="FF000000"/>
        <rFont val="Calibri"/>
        <family val="2"/>
      </rPr>
      <t>The ratio between the initial modulation and the modulation of the received sound</t>
    </r>
  </si>
  <si>
    <r>
      <t>¡</t>
    </r>
    <r>
      <rPr>
        <sz val="7"/>
        <color rgb="FF000000"/>
        <rFont val="Times New Roman"/>
        <family val="1"/>
      </rPr>
      <t xml:space="preserve">  </t>
    </r>
    <r>
      <rPr>
        <sz val="11"/>
        <color rgb="FF000000"/>
        <rFont val="Calibri"/>
        <family val="2"/>
      </rPr>
      <t>The ratio between modulation of the received sound and the initial modulation</t>
    </r>
  </si>
  <si>
    <r>
      <t>¡</t>
    </r>
    <r>
      <rPr>
        <sz val="7"/>
        <color rgb="FF000000"/>
        <rFont val="Times New Roman"/>
        <family val="1"/>
      </rPr>
      <t xml:space="preserve">  </t>
    </r>
    <r>
      <rPr>
        <sz val="11"/>
        <color rgb="FF000000"/>
        <rFont val="Calibri"/>
        <family val="2"/>
      </rPr>
      <t>The signal to noise ratio for a given modulation frequency</t>
    </r>
  </si>
  <si>
    <r>
      <t>¡</t>
    </r>
    <r>
      <rPr>
        <sz val="7"/>
        <color rgb="FF000000"/>
        <rFont val="Times New Roman"/>
        <family val="1"/>
      </rPr>
      <t xml:space="preserve">  </t>
    </r>
    <r>
      <rPr>
        <sz val="11"/>
        <color rgb="FF000000"/>
        <rFont val="Calibri"/>
        <family val="2"/>
      </rPr>
      <t>The value of STI for a given octave band</t>
    </r>
  </si>
  <si>
    <r>
      <t>¡</t>
    </r>
    <r>
      <rPr>
        <sz val="7"/>
        <color rgb="FF000000"/>
        <rFont val="Times New Roman"/>
        <family val="1"/>
      </rPr>
      <t xml:space="preserve">  </t>
    </r>
    <r>
      <rPr>
        <sz val="11"/>
        <color rgb="FF000000"/>
        <rFont val="Calibri"/>
        <family val="2"/>
      </rPr>
      <t>0 dB/octave - flat (white)</t>
    </r>
  </si>
  <si>
    <r>
      <t>¡</t>
    </r>
    <r>
      <rPr>
        <sz val="7"/>
        <color rgb="FF000000"/>
        <rFont val="Times New Roman"/>
        <family val="1"/>
      </rPr>
      <t xml:space="preserve">  </t>
    </r>
    <r>
      <rPr>
        <sz val="11"/>
        <color rgb="FF000000"/>
        <rFont val="Calibri"/>
        <family val="2"/>
      </rPr>
      <t>-3 dB/octave (pink)</t>
    </r>
  </si>
  <si>
    <r>
      <t>¡</t>
    </r>
    <r>
      <rPr>
        <sz val="7"/>
        <color rgb="FF000000"/>
        <rFont val="Times New Roman"/>
        <family val="1"/>
      </rPr>
      <t xml:space="preserve">  </t>
    </r>
    <r>
      <rPr>
        <sz val="11"/>
        <color rgb="FF000000"/>
        <rFont val="Calibri"/>
        <family val="2"/>
      </rPr>
      <t>-6 dB/octave (brown)</t>
    </r>
  </si>
  <si>
    <r>
      <t>¡</t>
    </r>
    <r>
      <rPr>
        <sz val="7"/>
        <color rgb="FF000000"/>
        <rFont val="Times New Roman"/>
        <family val="1"/>
      </rPr>
      <t xml:space="preserve">  </t>
    </r>
    <r>
      <rPr>
        <sz val="11"/>
        <color rgb="FF000000"/>
        <rFont val="Calibri"/>
        <family val="2"/>
      </rPr>
      <t>-9 dB/octave</t>
    </r>
  </si>
  <si>
    <r>
      <t>¡</t>
    </r>
    <r>
      <rPr>
        <sz val="7"/>
        <color rgb="FF000000"/>
        <rFont val="Times New Roman"/>
        <family val="1"/>
      </rPr>
      <t xml:space="preserve">  </t>
    </r>
    <r>
      <rPr>
        <sz val="11"/>
        <color rgb="FF000000"/>
        <rFont val="Calibri"/>
        <family val="2"/>
      </rPr>
      <t>-12 dB/octave</t>
    </r>
  </si>
  <si>
    <t>(multiple answers)</t>
  </si>
  <si>
    <r>
      <t>o</t>
    </r>
    <r>
      <rPr>
        <sz val="7"/>
        <color rgb="FF000000"/>
        <rFont val="Times New Roman"/>
        <family val="1"/>
      </rPr>
      <t xml:space="preserve">  </t>
    </r>
    <r>
      <rPr>
        <sz val="11"/>
        <color rgb="FF000000"/>
        <rFont val="Calibri"/>
        <family val="2"/>
      </rPr>
      <t>Low cost</t>
    </r>
  </si>
  <si>
    <r>
      <t>o</t>
    </r>
    <r>
      <rPr>
        <sz val="7"/>
        <color rgb="FF000000"/>
        <rFont val="Times New Roman"/>
        <family val="1"/>
      </rPr>
      <t xml:space="preserve">  </t>
    </r>
    <r>
      <rPr>
        <sz val="11"/>
        <color rgb="FF000000"/>
        <rFont val="Calibri"/>
        <family val="2"/>
      </rPr>
      <t>Almost perfectly flat spectrum</t>
    </r>
  </si>
  <si>
    <r>
      <t>o</t>
    </r>
    <r>
      <rPr>
        <sz val="7"/>
        <color rgb="FF000000"/>
        <rFont val="Times New Roman"/>
        <family val="1"/>
      </rPr>
      <t xml:space="preserve">  </t>
    </r>
    <r>
      <rPr>
        <sz val="11"/>
        <color rgb="FF000000"/>
        <rFont val="Calibri"/>
        <family val="2"/>
      </rPr>
      <t>Highly reproducible</t>
    </r>
  </si>
  <si>
    <r>
      <t>o</t>
    </r>
    <r>
      <rPr>
        <sz val="7"/>
        <color rgb="FF000000"/>
        <rFont val="Times New Roman"/>
        <family val="1"/>
      </rPr>
      <t xml:space="preserve">  </t>
    </r>
    <r>
      <rPr>
        <sz val="11"/>
        <color rgb="FF000000"/>
        <rFont val="Calibri"/>
        <family val="2"/>
      </rPr>
      <t>Large acoustical power</t>
    </r>
  </si>
  <si>
    <r>
      <t>o</t>
    </r>
    <r>
      <rPr>
        <sz val="7"/>
        <color rgb="FF000000"/>
        <rFont val="Times New Roman"/>
        <family val="1"/>
      </rPr>
      <t xml:space="preserve">  </t>
    </r>
    <r>
      <rPr>
        <sz val="11"/>
        <color rgb="FF000000"/>
        <rFont val="Calibri"/>
        <family val="2"/>
      </rPr>
      <t>Omnidirectional</t>
    </r>
  </si>
  <si>
    <r>
      <t>o</t>
    </r>
    <r>
      <rPr>
        <sz val="7"/>
        <color rgb="FF000000"/>
        <rFont val="Times New Roman"/>
        <family val="1"/>
      </rPr>
      <t xml:space="preserve">  </t>
    </r>
    <r>
      <rPr>
        <sz val="11"/>
        <color rgb="FF000000"/>
        <rFont val="Calibri"/>
        <family val="2"/>
      </rPr>
      <t>Usually a good sound absorbing material is also a good sound insulating material</t>
    </r>
  </si>
  <si>
    <r>
      <t>o</t>
    </r>
    <r>
      <rPr>
        <sz val="7"/>
        <color rgb="FF000000"/>
        <rFont val="Times New Roman"/>
        <family val="1"/>
      </rPr>
      <t xml:space="preserve">  </t>
    </r>
    <r>
      <rPr>
        <sz val="11"/>
        <color rgb="FF000000"/>
        <rFont val="Calibri"/>
        <family val="2"/>
      </rPr>
      <t>A sound absorber is light, soft and porous, instead a sound insulating panel is heavy, rigid and airtight</t>
    </r>
  </si>
  <si>
    <r>
      <t>o</t>
    </r>
    <r>
      <rPr>
        <sz val="7"/>
        <color rgb="FF000000"/>
        <rFont val="Times New Roman"/>
        <family val="1"/>
      </rPr>
      <t xml:space="preserve">  </t>
    </r>
    <r>
      <rPr>
        <b/>
        <sz val="11"/>
        <color rgb="FF000000"/>
        <rFont val="Calibri"/>
        <family val="2"/>
      </rPr>
      <t>a</t>
    </r>
    <r>
      <rPr>
        <sz val="11"/>
        <color rgb="FF000000"/>
        <rFont val="Calibri"/>
        <family val="2"/>
      </rPr>
      <t xml:space="preserve">, </t>
    </r>
    <r>
      <rPr>
        <b/>
        <sz val="11"/>
        <color rgb="FF000000"/>
        <rFont val="Calibri"/>
        <family val="2"/>
      </rPr>
      <t>r</t>
    </r>
    <r>
      <rPr>
        <sz val="11"/>
        <color rgb="FF000000"/>
        <rFont val="Calibri"/>
        <family val="2"/>
      </rPr>
      <t xml:space="preserve"> and </t>
    </r>
    <r>
      <rPr>
        <b/>
        <sz val="11"/>
        <color rgb="FF000000"/>
        <rFont val="Calibri"/>
        <family val="2"/>
      </rPr>
      <t>t</t>
    </r>
    <r>
      <rPr>
        <sz val="11"/>
        <color rgb="FF000000"/>
        <rFont val="Calibri"/>
        <family val="2"/>
      </rPr>
      <t xml:space="preserve"> are commonly employed coefficients, usually found on the data sheet of every material</t>
    </r>
  </si>
  <si>
    <r>
      <t>o</t>
    </r>
    <r>
      <rPr>
        <sz val="7"/>
        <color rgb="FF000000"/>
        <rFont val="Times New Roman"/>
        <family val="1"/>
      </rPr>
      <t xml:space="preserve">  </t>
    </r>
    <r>
      <rPr>
        <sz val="11"/>
        <color rgb="FF000000"/>
        <rFont val="Calibri"/>
        <family val="2"/>
      </rPr>
      <t>α is the coefficient usually declared by the manufacturer for a sound absorbing material</t>
    </r>
  </si>
  <si>
    <r>
      <t>o</t>
    </r>
    <r>
      <rPr>
        <sz val="7"/>
        <color rgb="FF000000"/>
        <rFont val="Times New Roman"/>
        <family val="1"/>
      </rPr>
      <t xml:space="preserve">  </t>
    </r>
    <r>
      <rPr>
        <sz val="11"/>
        <color rgb="FF000000"/>
        <rFont val="Calibri"/>
        <family val="2"/>
      </rPr>
      <t>In case of discrete objects, such as suspended baffles or seats, instead of providing the value of α, the manufacturer usually provides directly the value of A, in m².</t>
    </r>
  </si>
  <si>
    <t>(write number and measurement unit)</t>
  </si>
  <si>
    <t xml:space="preserve"> </t>
  </si>
  <si>
    <r>
      <t xml:space="preserve">6) In a room, with a volume V=150+EF m³, and with an initial reverberation time of 3+E s, a total surface of 100+DE m² of sound absorbing panels is inserted, having an absorption coefficient α = 0.5+F/50. Compute the reverberant sound level reduction </t>
    </r>
    <r>
      <rPr>
        <b/>
        <sz val="11"/>
        <color rgb="FF000000"/>
        <rFont val="Arial"/>
        <family val="2"/>
      </rPr>
      <t>Δ</t>
    </r>
    <r>
      <rPr>
        <b/>
        <sz val="11"/>
        <color rgb="FF000000"/>
        <rFont val="Calibri"/>
        <family val="2"/>
      </rPr>
      <t>L=L1-L2 caused by the increase of sound absorption.</t>
    </r>
  </si>
  <si>
    <t>Solution of test - 15/11/2019 - Applied Acoustics</t>
  </si>
  <si>
    <t>2) An exponential sine sweep is convolved with the time reversal of itself (instead of using its matched, amplitude-modulated inverse filter).</t>
  </si>
  <si>
    <t xml:space="preserve">     What will be the spectral slope of the resulting impulse signal, as shown by an FFT analysis?</t>
  </si>
  <si>
    <t>SN_ratio =</t>
  </si>
  <si>
    <t>dB</t>
  </si>
  <si>
    <t>MTF' =</t>
  </si>
  <si>
    <t>MTF = MTF' * 1/ (1+10^(-SN/10)) =</t>
  </si>
  <si>
    <t>A1 = 0.16*V/T1 =</t>
  </si>
  <si>
    <t>m2</t>
  </si>
  <si>
    <r>
      <t xml:space="preserve">A2 = A1 + </t>
    </r>
    <r>
      <rPr>
        <sz val="10"/>
        <color rgb="FF000000"/>
        <rFont val="Symbol"/>
        <family val="1"/>
        <charset val="2"/>
      </rPr>
      <t>a</t>
    </r>
    <r>
      <rPr>
        <sz val="10"/>
        <color rgb="FF000000"/>
        <rFont val="Arial"/>
        <family val="2"/>
      </rPr>
      <t>*S =</t>
    </r>
  </si>
  <si>
    <t>T2 = 0.16*V/A2 =</t>
  </si>
  <si>
    <t>s</t>
  </si>
  <si>
    <t>Delta L = 10*log10(T1/T2) =</t>
  </si>
  <si>
    <t>Sigma = rho * s =</t>
  </si>
  <si>
    <t>kg/m2</t>
  </si>
  <si>
    <t>d =</t>
  </si>
  <si>
    <t>m</t>
  </si>
  <si>
    <t>f = 60/sqrt(sigma*d) =</t>
  </si>
  <si>
    <t>Hz</t>
  </si>
  <si>
    <t>l =</t>
  </si>
  <si>
    <t>r =</t>
  </si>
  <si>
    <t>V =</t>
  </si>
  <si>
    <t>mm3</t>
  </si>
  <si>
    <t>f0 =</t>
  </si>
  <si>
    <t>m3</t>
  </si>
  <si>
    <t>Score</t>
  </si>
  <si>
    <t>the answer did contain also the symbol of the unknown quantity</t>
  </si>
  <si>
    <t>Colour markings:</t>
  </si>
  <si>
    <t>format error or missing space (not error, this time)</t>
  </si>
  <si>
    <t>Correct Answer</t>
  </si>
  <si>
    <t>Correct Unit</t>
  </si>
  <si>
    <t>Total Score</t>
  </si>
  <si>
    <t xml:space="preserve"> = 160.937 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</si>
</sst>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h:mm:ss"/>
    <numFmt numFmtId="165" formatCode="0.0"/>
    <numFmt numFmtId="170" formatCode="0.000"/>
  </numFmts>
  <fonts count="17" x14ac:knownFonts="1">
    <font>
      <sz val="10"/>
      <color rgb="FF000000"/>
      <name val="Arial"/>
    </font>
    <font>
      <sz val="10"/>
      <color theme="1"/>
      <name val="Arial"/>
      <family val="2"/>
    </font>
    <font>
      <sz val="10"/>
      <color rgb="FF000000"/>
      <name val="Arial"/>
      <family val="2"/>
    </font>
    <font>
      <b/>
      <sz val="10"/>
      <name val="Arial"/>
      <family val="2"/>
    </font>
    <font>
      <sz val="10"/>
      <name val="Arial"/>
      <family val="2"/>
    </font>
    <font>
      <sz val="11"/>
      <color rgb="FF000000"/>
      <name val="Calibri"/>
      <family val="2"/>
    </font>
    <font>
      <b/>
      <sz val="11"/>
      <color rgb="FF000000"/>
      <name val="Calibri"/>
      <family val="2"/>
    </font>
    <font>
      <i/>
      <sz val="11"/>
      <color rgb="FF000000"/>
      <name val="Calibri"/>
      <family val="2"/>
    </font>
    <font>
      <sz val="11"/>
      <color rgb="FF000000"/>
      <name val="Wingdings"/>
      <charset val="2"/>
    </font>
    <font>
      <sz val="7"/>
      <color rgb="FF000000"/>
      <name val="Times New Roman"/>
      <family val="1"/>
    </font>
    <font>
      <i/>
      <sz val="10"/>
      <color rgb="FF000000"/>
      <name val="Calibri"/>
      <family val="2"/>
    </font>
    <font>
      <sz val="12"/>
      <color rgb="FF000000"/>
      <name val="Calibri"/>
      <family val="2"/>
    </font>
    <font>
      <b/>
      <sz val="11"/>
      <color rgb="FF000000"/>
      <name val="Arial"/>
      <family val="2"/>
    </font>
    <font>
      <b/>
      <sz val="10"/>
      <color rgb="FF000000"/>
      <name val="Arial"/>
      <family val="2"/>
    </font>
    <font>
      <sz val="10"/>
      <color rgb="FF000000"/>
      <name val="Calibri"/>
      <family val="2"/>
    </font>
    <font>
      <sz val="10"/>
      <color rgb="FF000000"/>
      <name val="Symbol"/>
      <family val="1"/>
      <charset val="2"/>
    </font>
    <font>
      <sz val="10"/>
      <color rgb="FF008000"/>
      <name val="Arial"/>
      <family val="2"/>
    </font>
  </fonts>
  <fills count="7">
    <fill>
      <patternFill patternType="none"/>
    </fill>
    <fill>
      <patternFill patternType="gray125"/>
    </fill>
    <fill>
      <patternFill patternType="solid">
        <fgColor rgb="FFD8D8D8"/>
        <bgColor rgb="FFD8D8D8"/>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s>
  <borders count="1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59">
    <xf numFmtId="0" fontId="0" fillId="0" borderId="0" xfId="0" applyFont="1" applyAlignment="1"/>
    <xf numFmtId="0" fontId="1" fillId="0" borderId="0" xfId="0" applyFont="1" applyAlignment="1"/>
    <xf numFmtId="0" fontId="2" fillId="0" borderId="0" xfId="0" applyFont="1" applyAlignment="1"/>
    <xf numFmtId="0" fontId="0" fillId="0" borderId="0" xfId="0" applyFont="1" applyAlignment="1">
      <alignment horizontal="center"/>
    </xf>
    <xf numFmtId="0" fontId="3" fillId="2" borderId="1" xfId="0" applyFont="1" applyFill="1" applyBorder="1" applyAlignment="1">
      <alignment horizontal="center" vertical="center" wrapText="1"/>
    </xf>
    <xf numFmtId="0" fontId="0" fillId="0" borderId="2" xfId="0" applyFont="1" applyBorder="1" applyAlignment="1">
      <alignment horizontal="center"/>
    </xf>
    <xf numFmtId="0" fontId="4" fillId="3" borderId="2" xfId="0" applyFont="1" applyFill="1" applyBorder="1" applyAlignment="1">
      <alignment horizont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4"/>
    </xf>
    <xf numFmtId="0" fontId="10" fillId="0" borderId="0" xfId="0" applyFont="1" applyAlignment="1">
      <alignment vertical="center"/>
    </xf>
    <xf numFmtId="0" fontId="11" fillId="0" borderId="0" xfId="0" applyFont="1" applyAlignment="1">
      <alignment vertical="center"/>
    </xf>
    <xf numFmtId="0" fontId="13" fillId="0" borderId="0" xfId="0" applyFont="1" applyAlignment="1"/>
    <xf numFmtId="0" fontId="8" fillId="4" borderId="0" xfId="0" applyFont="1" applyFill="1" applyAlignment="1">
      <alignment horizontal="left" vertical="center" indent="4"/>
    </xf>
    <xf numFmtId="0" fontId="0" fillId="4" borderId="0" xfId="0" applyFont="1" applyFill="1" applyAlignment="1"/>
    <xf numFmtId="0" fontId="14" fillId="0" borderId="0" xfId="0" applyFont="1" applyAlignment="1">
      <alignment vertical="center"/>
    </xf>
    <xf numFmtId="0" fontId="13" fillId="0" borderId="3" xfId="0" applyFont="1" applyBorder="1" applyAlignment="1"/>
    <xf numFmtId="0" fontId="13" fillId="0" borderId="4" xfId="0" applyFont="1" applyBorder="1" applyAlignment="1"/>
    <xf numFmtId="0" fontId="13" fillId="0" borderId="5" xfId="0" applyFont="1" applyBorder="1" applyAlignment="1"/>
    <xf numFmtId="165" fontId="13" fillId="0" borderId="4" xfId="0" applyNumberFormat="1" applyFont="1" applyBorder="1" applyAlignment="1"/>
    <xf numFmtId="0" fontId="0" fillId="0" borderId="3" xfId="0" applyFont="1" applyBorder="1" applyAlignment="1"/>
    <xf numFmtId="0" fontId="0" fillId="0" borderId="4" xfId="0" applyFont="1" applyBorder="1" applyAlignment="1"/>
    <xf numFmtId="0" fontId="13" fillId="0" borderId="4" xfId="0" applyFont="1" applyFill="1" applyBorder="1" applyAlignment="1">
      <alignment horizontal="right"/>
    </xf>
    <xf numFmtId="0" fontId="6" fillId="0" borderId="0" xfId="0" applyFont="1" applyAlignment="1">
      <alignment vertical="center" wrapText="1"/>
    </xf>
    <xf numFmtId="0" fontId="0" fillId="0" borderId="0" xfId="0" applyFont="1" applyAlignment="1">
      <alignment wrapText="1"/>
    </xf>
    <xf numFmtId="2" fontId="13" fillId="0" borderId="3" xfId="0" applyNumberFormat="1" applyFont="1" applyBorder="1" applyAlignment="1"/>
    <xf numFmtId="2" fontId="13" fillId="0" borderId="4" xfId="0" applyNumberFormat="1" applyFont="1" applyBorder="1" applyAlignment="1"/>
    <xf numFmtId="2" fontId="13" fillId="0" borderId="5" xfId="0" applyNumberFormat="1" applyFont="1" applyBorder="1" applyAlignment="1"/>
    <xf numFmtId="0" fontId="4" fillId="3" borderId="6" xfId="0" applyFont="1" applyFill="1" applyBorder="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3" fillId="0" borderId="0" xfId="0" applyFont="1" applyAlignment="1">
      <alignment horizontal="left"/>
    </xf>
    <xf numFmtId="0" fontId="2" fillId="5" borderId="0" xfId="0" applyFont="1" applyFill="1" applyAlignment="1">
      <alignment horizontal="left"/>
    </xf>
    <xf numFmtId="0" fontId="0" fillId="5" borderId="0" xfId="0" applyFont="1" applyFill="1" applyAlignment="1"/>
    <xf numFmtId="165" fontId="16" fillId="0" borderId="2" xfId="0" applyNumberFormat="1" applyFont="1" applyBorder="1" applyAlignment="1">
      <alignment horizontal="center"/>
    </xf>
    <xf numFmtId="0" fontId="4" fillId="0" borderId="2" xfId="0" applyFont="1" applyBorder="1" applyAlignment="1"/>
    <xf numFmtId="0" fontId="0" fillId="0" borderId="0" xfId="0" applyFont="1" applyFill="1" applyAlignment="1"/>
    <xf numFmtId="170" fontId="16" fillId="0" borderId="2" xfId="0" applyNumberFormat="1" applyFont="1" applyBorder="1" applyAlignment="1">
      <alignment horizont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9" xfId="0" applyFont="1" applyBorder="1" applyAlignment="1">
      <alignment horizontal="center"/>
    </xf>
    <xf numFmtId="164" fontId="1" fillId="0" borderId="2" xfId="0" applyNumberFormat="1" applyFont="1" applyBorder="1" applyAlignment="1"/>
    <xf numFmtId="0" fontId="1" fillId="0" borderId="2" xfId="0" applyFont="1" applyBorder="1" applyAlignment="1"/>
    <xf numFmtId="0" fontId="0" fillId="0" borderId="2" xfId="0" applyFont="1" applyBorder="1" applyAlignment="1"/>
    <xf numFmtId="0" fontId="1" fillId="5" borderId="2" xfId="0" applyFont="1" applyFill="1" applyBorder="1" applyAlignment="1"/>
    <xf numFmtId="0" fontId="0" fillId="0" borderId="11" xfId="0" applyFont="1" applyBorder="1" applyAlignment="1">
      <alignment horizontal="center"/>
    </xf>
    <xf numFmtId="164" fontId="1" fillId="0" borderId="6" xfId="0" applyNumberFormat="1" applyFont="1" applyBorder="1" applyAlignment="1"/>
    <xf numFmtId="0" fontId="1" fillId="0" borderId="6" xfId="0" applyFont="1" applyBorder="1" applyAlignment="1"/>
    <xf numFmtId="0" fontId="0" fillId="0" borderId="6" xfId="0" applyFont="1" applyBorder="1" applyAlignment="1">
      <alignment horizontal="center"/>
    </xf>
    <xf numFmtId="170" fontId="16" fillId="0" borderId="6" xfId="0" applyNumberFormat="1" applyFont="1" applyBorder="1" applyAlignment="1">
      <alignment horizontal="center"/>
    </xf>
    <xf numFmtId="165" fontId="16" fillId="0" borderId="6" xfId="0" applyNumberFormat="1" applyFont="1" applyBorder="1" applyAlignment="1">
      <alignment horizontal="center"/>
    </xf>
    <xf numFmtId="0" fontId="4" fillId="0" borderId="6" xfId="0" applyFont="1" applyBorder="1" applyAlignment="1"/>
    <xf numFmtId="0" fontId="0" fillId="0" borderId="6" xfId="0" applyFont="1" applyBorder="1" applyAlignment="1"/>
    <xf numFmtId="0" fontId="13" fillId="4" borderId="10" xfId="0" applyFont="1" applyFill="1" applyBorder="1" applyAlignment="1">
      <alignment horizontal="center"/>
    </xf>
    <xf numFmtId="0" fontId="13" fillId="4" borderId="12" xfId="0" applyFont="1" applyFill="1" applyBorder="1" applyAlignment="1">
      <alignment horizontal="center"/>
    </xf>
    <xf numFmtId="0" fontId="1" fillId="6" borderId="6" xfId="0" applyFont="1" applyFill="1" applyBorder="1" applyAlignment="1"/>
    <xf numFmtId="0" fontId="1" fillId="6" borderId="6" xfId="0" applyFont="1" applyFill="1" applyBorder="1" applyAlignment="1">
      <alignment horizontal="right"/>
    </xf>
    <xf numFmtId="0" fontId="2" fillId="6" borderId="0" xfId="0" applyFont="1" applyFill="1" applyAlignment="1"/>
    <xf numFmtId="0" fontId="0" fillId="6" borderId="0" xfId="0" applyFont="1" applyFill="1" applyAlignment="1"/>
  </cellXfs>
  <cellStyles count="1">
    <cellStyle name="Normal" xfId="0" builtinId="0"/>
  </cellStyles>
  <dxfs count="30">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
      <font>
        <color theme="2" tint="-0.749961851863155"/>
      </font>
      <fill>
        <patternFill>
          <bgColor theme="0" tint="-0.14996795556505021"/>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14</xdr:col>
          <xdr:colOff>542925</xdr:colOff>
          <xdr:row>36</xdr:row>
          <xdr:rowOff>190500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5BFEBE93-A76E-496F-8128-A960C557451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600075</xdr:colOff>
          <xdr:row>42</xdr:row>
          <xdr:rowOff>9525</xdr:rowOff>
        </xdr:from>
        <xdr:to>
          <xdr:col>13</xdr:col>
          <xdr:colOff>180975</xdr:colOff>
          <xdr:row>44</xdr:row>
          <xdr:rowOff>142875</xdr:rowOff>
        </xdr:to>
        <xdr:sp macro="" textlink="">
          <xdr:nvSpPr>
            <xdr:cNvPr id="2054" name="Object 6" hidden="1">
              <a:extLst>
                <a:ext uri="{63B3BB69-23CF-44E3-9099-C40C66FF867C}">
                  <a14:compatExt spid="_x0000_s2054"/>
                </a:ext>
                <a:ext uri="{FF2B5EF4-FFF2-40B4-BE49-F238E27FC236}">
                  <a16:creationId xmlns:a16="http://schemas.microsoft.com/office/drawing/2014/main" id="{4D3E7FDE-9761-4E1F-B462-D50D14EF325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140493</xdr:colOff>
          <xdr:row>46</xdr:row>
          <xdr:rowOff>31849</xdr:rowOff>
        </xdr:from>
        <xdr:to>
          <xdr:col>12</xdr:col>
          <xdr:colOff>533399</xdr:colOff>
          <xdr:row>50</xdr:row>
          <xdr:rowOff>63996</xdr:rowOff>
        </xdr:to>
        <xdr:sp macro="" textlink="">
          <xdr:nvSpPr>
            <xdr:cNvPr id="2058" name="Object 10" hidden="1">
              <a:extLst>
                <a:ext uri="{63B3BB69-23CF-44E3-9099-C40C66FF867C}">
                  <a14:compatExt spid="_x0000_s20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R33"/>
  <sheetViews>
    <sheetView tabSelected="1" workbookViewId="0">
      <pane ySplit="1" topLeftCell="A2" activePane="bottomLeft" state="frozen"/>
      <selection pane="bottomLeft"/>
    </sheetView>
  </sheetViews>
  <sheetFormatPr defaultColWidth="14.42578125" defaultRowHeight="15.75" customHeight="1" x14ac:dyDescent="0.2"/>
  <cols>
    <col min="1" max="1" width="5.5703125" customWidth="1"/>
    <col min="2" max="2" width="18.5703125" customWidth="1"/>
    <col min="3" max="3" width="46.28515625" customWidth="1"/>
    <col min="4" max="4" width="38" customWidth="1"/>
    <col min="5" max="5" width="9.85546875" style="3" customWidth="1"/>
    <col min="6" max="11" width="3" customWidth="1"/>
    <col min="12" max="12" width="8.5703125" customWidth="1"/>
    <col min="13" max="13" width="23" customWidth="1"/>
    <col min="14" max="14" width="6.85546875" customWidth="1"/>
    <col min="15" max="15" width="29.42578125" customWidth="1"/>
    <col min="16" max="16" width="7.5703125" customWidth="1"/>
    <col min="17" max="17" width="21.5703125" customWidth="1"/>
    <col min="18" max="22" width="4" customWidth="1"/>
    <col min="23" max="23" width="21.5703125" customWidth="1"/>
    <col min="24" max="28" width="4" customWidth="1"/>
    <col min="29" max="29" width="25.5703125" customWidth="1"/>
    <col min="30" max="30" width="7.7109375" customWidth="1"/>
    <col min="31" max="31" width="7.28515625" customWidth="1"/>
    <col min="32" max="32" width="38" customWidth="1"/>
    <col min="33" max="35" width="7.7109375" customWidth="1"/>
    <col min="36" max="36" width="27.5703125" customWidth="1"/>
    <col min="37" max="37" width="7.85546875" customWidth="1"/>
    <col min="38" max="39" width="7.42578125" customWidth="1"/>
    <col min="40" max="40" width="37.5703125" customWidth="1"/>
    <col min="41" max="43" width="8" customWidth="1"/>
    <col min="44" max="44" width="8.7109375" customWidth="1"/>
    <col min="45" max="46" width="21.5703125" customWidth="1"/>
  </cols>
  <sheetData>
    <row r="1" spans="1:44" ht="116.25" customHeight="1" x14ac:dyDescent="0.2">
      <c r="A1" s="38" t="s">
        <v>142</v>
      </c>
      <c r="B1" s="4" t="s">
        <v>0</v>
      </c>
      <c r="C1" s="29" t="s">
        <v>1</v>
      </c>
      <c r="D1" s="29" t="s">
        <v>2</v>
      </c>
      <c r="E1" s="4" t="s">
        <v>3</v>
      </c>
      <c r="F1" s="4" t="s">
        <v>143</v>
      </c>
      <c r="G1" s="4" t="s">
        <v>144</v>
      </c>
      <c r="H1" s="4" t="s">
        <v>145</v>
      </c>
      <c r="I1" s="4" t="s">
        <v>146</v>
      </c>
      <c r="J1" s="4" t="s">
        <v>147</v>
      </c>
      <c r="K1" s="4" t="s">
        <v>148</v>
      </c>
      <c r="L1" s="4" t="s">
        <v>149</v>
      </c>
      <c r="M1" s="29" t="s">
        <v>4</v>
      </c>
      <c r="N1" s="4" t="s">
        <v>200</v>
      </c>
      <c r="O1" s="29" t="s">
        <v>5</v>
      </c>
      <c r="P1" s="4" t="s">
        <v>200</v>
      </c>
      <c r="Q1" s="29" t="s">
        <v>6</v>
      </c>
      <c r="R1" s="30">
        <v>1</v>
      </c>
      <c r="S1" s="30">
        <v>1</v>
      </c>
      <c r="T1" s="30">
        <v>1</v>
      </c>
      <c r="U1" s="30">
        <v>-1</v>
      </c>
      <c r="V1" s="30">
        <v>-1</v>
      </c>
      <c r="W1" s="29" t="s">
        <v>7</v>
      </c>
      <c r="X1" s="30">
        <v>-1</v>
      </c>
      <c r="Y1" s="30">
        <v>1</v>
      </c>
      <c r="Z1" s="30">
        <v>-1</v>
      </c>
      <c r="AA1" s="30">
        <v>1</v>
      </c>
      <c r="AB1" s="30">
        <v>1</v>
      </c>
      <c r="AC1" s="29" t="s">
        <v>8</v>
      </c>
      <c r="AD1" s="4" t="s">
        <v>204</v>
      </c>
      <c r="AE1" s="4" t="s">
        <v>200</v>
      </c>
      <c r="AF1" s="29" t="s">
        <v>9</v>
      </c>
      <c r="AG1" s="4" t="s">
        <v>204</v>
      </c>
      <c r="AH1" s="4" t="s">
        <v>205</v>
      </c>
      <c r="AI1" s="4" t="s">
        <v>200</v>
      </c>
      <c r="AJ1" s="29" t="s">
        <v>10</v>
      </c>
      <c r="AK1" s="4" t="s">
        <v>204</v>
      </c>
      <c r="AL1" s="4" t="s">
        <v>205</v>
      </c>
      <c r="AM1" s="4" t="s">
        <v>200</v>
      </c>
      <c r="AN1" s="29" t="s">
        <v>11</v>
      </c>
      <c r="AO1" s="4" t="s">
        <v>204</v>
      </c>
      <c r="AP1" s="4" t="s">
        <v>205</v>
      </c>
      <c r="AQ1" s="4" t="s">
        <v>200</v>
      </c>
      <c r="AR1" s="39" t="s">
        <v>206</v>
      </c>
    </row>
    <row r="2" spans="1:44" ht="12.75" x14ac:dyDescent="0.2">
      <c r="A2" s="40">
        <v>1</v>
      </c>
      <c r="B2" s="41">
        <v>43784.724848275466</v>
      </c>
      <c r="C2" s="42" t="s">
        <v>13</v>
      </c>
      <c r="D2" s="42" t="s">
        <v>14</v>
      </c>
      <c r="E2" s="5">
        <v>301743</v>
      </c>
      <c r="F2" s="5">
        <f>INT(E2/100000)</f>
        <v>3</v>
      </c>
      <c r="G2" s="5">
        <f t="shared" ref="G2" si="0">INT(($E2-100000*F2)/10000)</f>
        <v>0</v>
      </c>
      <c r="H2" s="5">
        <f t="shared" ref="H2" si="1">INT(($E2-100000*F2-10000*G2)/1000)</f>
        <v>1</v>
      </c>
      <c r="I2" s="5">
        <f>INT(($E2-100000*$F2-10000*$G2-1000*$H2)/100)</f>
        <v>7</v>
      </c>
      <c r="J2" s="5">
        <f>INT(($E2-100000*$F2-10000*$G2-1000*$H2-100*$I2)/10)</f>
        <v>4</v>
      </c>
      <c r="K2" s="5">
        <f>INT(($E2-100000*$F2-10000*$G2-1000*$H2-100*$I2-10*$J2))</f>
        <v>3</v>
      </c>
      <c r="L2" s="6">
        <v>2</v>
      </c>
      <c r="M2" s="42" t="s">
        <v>15</v>
      </c>
      <c r="N2" s="6">
        <v>1</v>
      </c>
      <c r="O2" s="42" t="s">
        <v>12</v>
      </c>
      <c r="P2" s="6">
        <v>-1</v>
      </c>
      <c r="Q2" s="42" t="s">
        <v>16</v>
      </c>
      <c r="R2" s="6">
        <f>IF(ISERROR(FIND("Low cost",Q2,1)),0,R$1)</f>
        <v>1</v>
      </c>
      <c r="S2" s="6">
        <f>IF(ISERROR(FIND("Almost perfectly flat spectrum",Q2,1)),0,S$1)</f>
        <v>1</v>
      </c>
      <c r="T2" s="6">
        <f>IF(ISERROR(FIND("Highly reproducible",Q2,1)),0,T$1)</f>
        <v>1</v>
      </c>
      <c r="U2" s="6">
        <f>IF(ISERROR(FIND("Large acoustical power",Q2,1)),0,U$1)</f>
        <v>0</v>
      </c>
      <c r="V2" s="6">
        <f>IF(ISERROR(FIND("Omnidirectional",Q2,1)),0,V$1)</f>
        <v>0</v>
      </c>
      <c r="W2" s="42" t="s">
        <v>17</v>
      </c>
      <c r="X2" s="6">
        <f>IF(ISERROR(FIND("Usually a good sound absorbing material is also a good sound insulating material",W2,1)),0,X$1)</f>
        <v>0</v>
      </c>
      <c r="Y2" s="6">
        <f>IF(ISERROR(FIND("A sound absorber is light, soft and porous, instead a sound insulating panel is heavy, rigid and airtight",W2,1)),0,Y$1)</f>
        <v>1</v>
      </c>
      <c r="Z2" s="6">
        <f>IF(ISERROR(FIND("a, r and t are commonly employed coefficients, usually found on the data sheet of every material",W2,1)),0,Z$1)</f>
        <v>0</v>
      </c>
      <c r="AA2" s="6">
        <f>IF(ISERROR(FIND("α is the coefficient usually declared by the manufacturer for a sound absorbing material",W2,1)),0,AA$1)</f>
        <v>1</v>
      </c>
      <c r="AB2" s="6">
        <f>IF(ISERROR(FIND("In case of discrete objects, such as suspended baffles or seats, instead of providing the value of α, the manufacturer usually provides directly the value of A, in m².",W2,1)),0,AB$1)</f>
        <v>1</v>
      </c>
      <c r="AC2" s="42">
        <v>0.57731969999999999</v>
      </c>
      <c r="AD2" s="37">
        <f>(0.5+K2/20)/(1+10^(-(5+J2)/10))</f>
        <v>0.57731974964422395</v>
      </c>
      <c r="AE2" s="6">
        <f>IF(AC2="",0,IF(ABS(AC2-AD2)&lt;=0.1,1,-1))</f>
        <v>1</v>
      </c>
      <c r="AF2" s="42" t="s">
        <v>18</v>
      </c>
      <c r="AG2" s="34">
        <f>10*LOG10((3+J2)/(0.16*(150+J2*10+K2)/((0.16*(150+J2*10+K2)/(3+J2))+(0.5+K2/50)*(100+I2*10+J2))))</f>
        <v>13.633878731578989</v>
      </c>
      <c r="AH2" s="35" t="s">
        <v>179</v>
      </c>
      <c r="AI2" s="6">
        <f>IF(AF2="",0,IF(EXACT(RIGHT(AF2,2),"dB"),IF(ABS(VALUE(LEFT(AF2,FIND(" ",AF2,1)))-AG2)&lt;=0.5,1,-1),-1))</f>
        <v>-1</v>
      </c>
      <c r="AJ2" s="42" t="s">
        <v>19</v>
      </c>
      <c r="AK2" s="34">
        <f>60/SQRT(((700+K2*10)*(3+J2/5)/1000)*((50+I2)/1000))</f>
        <v>150.89004712657785</v>
      </c>
      <c r="AL2" s="35" t="s">
        <v>193</v>
      </c>
      <c r="AM2" s="6">
        <f>IF(AJ2="",0,IF(EXACT(RIGHT(AJ2,2),"Hz"),IF(ABS(VALUE(LEFT(AJ2,FIND(" ",AJ2,1)))-AK2)&lt;=0.5,1,-1),-1))</f>
        <v>1</v>
      </c>
      <c r="AN2" s="43"/>
      <c r="AO2" s="34">
        <f>340/2/PI()*SQRT(PI()*((2+I2/10)/2/1000)^2/((50+I2)/1000/(100+K2*20)*(((3+J2/5)/1000)+PI()/2*((2+I2/10)/2/1000))))</f>
        <v>89.155547639264057</v>
      </c>
      <c r="AP2" s="35" t="s">
        <v>193</v>
      </c>
      <c r="AQ2" s="6">
        <f>IF(AN2="",0,IF(EXACT(RIGHT(AN2,2),"Hz"),IF(ABS(VALUE(LEFT(AN2,FIND(" ",AN2,1)))-AO2)&lt;=5,1,-1),-1))</f>
        <v>0</v>
      </c>
      <c r="AR2" s="53">
        <f>L2+N2+P2+SUM(R2:V2)+SUM(X2:AB2)+AE2+AI2+AM2+AQ2</f>
        <v>9</v>
      </c>
    </row>
    <row r="3" spans="1:44" ht="12.75" x14ac:dyDescent="0.2">
      <c r="A3" s="40">
        <v>2</v>
      </c>
      <c r="B3" s="41">
        <v>43784.72996582176</v>
      </c>
      <c r="C3" s="42" t="s">
        <v>20</v>
      </c>
      <c r="D3" s="42" t="s">
        <v>21</v>
      </c>
      <c r="E3" s="5">
        <v>304079</v>
      </c>
      <c r="F3" s="5">
        <f t="shared" ref="F3:F29" si="2">INT(E3/100000)</f>
        <v>3</v>
      </c>
      <c r="G3" s="5">
        <f t="shared" ref="G3:G29" si="3">INT(($E3-100000*F3)/10000)</f>
        <v>0</v>
      </c>
      <c r="H3" s="5">
        <f t="shared" ref="H3:H29" si="4">INT(($E3-100000*F3-10000*G3)/1000)</f>
        <v>4</v>
      </c>
      <c r="I3" s="5">
        <f t="shared" ref="I3:I29" si="5">INT(($E3-100000*$F3-10000*$G3-1000*$H3)/100)</f>
        <v>0</v>
      </c>
      <c r="J3" s="5">
        <f t="shared" ref="J3:J29" si="6">INT(($E3-100000*$F3-10000*$G3-1000*$H3-100*$I3)/10)</f>
        <v>7</v>
      </c>
      <c r="K3" s="5">
        <f t="shared" ref="K3:K29" si="7">INT(($E3-100000*$F3-10000*$G3-1000*$H3-100*$I3-10*$J3))</f>
        <v>9</v>
      </c>
      <c r="L3" s="6">
        <v>2</v>
      </c>
      <c r="M3" s="42" t="s">
        <v>15</v>
      </c>
      <c r="N3" s="6">
        <v>1</v>
      </c>
      <c r="O3" s="42" t="s">
        <v>22</v>
      </c>
      <c r="P3" s="6">
        <v>1</v>
      </c>
      <c r="Q3" s="42" t="s">
        <v>23</v>
      </c>
      <c r="R3" s="6">
        <f t="shared" ref="R3:R29" si="8">IF(ISERROR(FIND("Low cost",Q3,1)),0,R$1)</f>
        <v>1</v>
      </c>
      <c r="S3" s="6">
        <f t="shared" ref="S3:S29" si="9">IF(ISERROR(FIND("Almost perfectly flat spectrum",Q3,1)),0,S$1)</f>
        <v>0</v>
      </c>
      <c r="T3" s="6">
        <f t="shared" ref="T3:T29" si="10">IF(ISERROR(FIND("Highly reproducible",Q3,1)),0,T$1)</f>
        <v>1</v>
      </c>
      <c r="U3" s="6">
        <f t="shared" ref="U3:U29" si="11">IF(ISERROR(FIND("Large acoustical power",Q3,1)),0,U$1)</f>
        <v>0</v>
      </c>
      <c r="V3" s="6">
        <f t="shared" ref="V3:V29" si="12">IF(ISERROR(FIND("Omnidirectional",Q3,1)),0,V$1)</f>
        <v>0</v>
      </c>
      <c r="W3" s="42" t="s">
        <v>17</v>
      </c>
      <c r="X3" s="6">
        <f t="shared" ref="X3:X29" si="13">IF(ISERROR(FIND("Usually a good sound absorbing material is also a good sound insulating material",W3,1)),0,X$1)</f>
        <v>0</v>
      </c>
      <c r="Y3" s="6">
        <f t="shared" ref="Y3:Y29" si="14">IF(ISERROR(FIND("A sound absorber is light, soft and porous, instead a sound insulating panel is heavy, rigid and airtight",W3,1)),0,Y$1)</f>
        <v>1</v>
      </c>
      <c r="Z3" s="6">
        <f t="shared" ref="Z3:Z29" si="15">IF(ISERROR(FIND("a, r and t are commonly employed coefficients, usually found on the data sheet of every material",W3,1)),0,Z$1)</f>
        <v>0</v>
      </c>
      <c r="AA3" s="6">
        <f t="shared" ref="AA3:AA29" si="16">IF(ISERROR(FIND("α is the coefficient usually declared by the manufacturer for a sound absorbing material",W3,1)),0,AA$1)</f>
        <v>1</v>
      </c>
      <c r="AB3" s="6">
        <f t="shared" ref="AB3:AB29" si="17">IF(ISERROR(FIND("In case of discrete objects, such as suspended baffles or seats, instead of providing the value of α, the manufacturer usually provides directly the value of A, in m².",W3,1)),0,AB$1)</f>
        <v>1</v>
      </c>
      <c r="AC3" s="42">
        <v>0.89300000000000002</v>
      </c>
      <c r="AD3" s="37">
        <f t="shared" ref="AD3:AD29" si="18">(0.5+K3/20)/(1+10^(-(5+J3)/10))</f>
        <v>0.89361660405237064</v>
      </c>
      <c r="AE3" s="6">
        <f t="shared" ref="AE3:AE29" si="19">IF(AC3="",0,IF(ABS(AC3-AD3)&lt;=0.1,1,-1))</f>
        <v>1</v>
      </c>
      <c r="AF3" s="42" t="s">
        <v>24</v>
      </c>
      <c r="AG3" s="34">
        <f t="shared" ref="AG3:AG29" si="20">10*LOG10((3+J3)/(0.16*(150+J3*10+K3)/((0.16*(150+J3*10+K3)/(3+J3))+(0.5+K3/50)*(100+I3*10+J3))))</f>
        <v>13.192742997418851</v>
      </c>
      <c r="AH3" s="35" t="s">
        <v>179</v>
      </c>
      <c r="AI3" s="6">
        <f t="shared" ref="AI3:AI29" si="21">IF(AF3="",0,IF(EXACT(RIGHT(AF3,2),"dB"),IF(ABS(VALUE(LEFT(AF3,FIND(" ",AF3,1)))-AG3)&lt;=0.5,1,-1),-1))</f>
        <v>1</v>
      </c>
      <c r="AJ3" s="42" t="s">
        <v>25</v>
      </c>
      <c r="AK3" s="34">
        <f t="shared" ref="AK3:AK29" si="22">60/SQRT(((700+K3*10)*(3+J3/5)/1000)*((50+I3)/1000))</f>
        <v>143.921727864275</v>
      </c>
      <c r="AL3" s="35" t="s">
        <v>193</v>
      </c>
      <c r="AM3" s="6">
        <f t="shared" ref="AM3:AM29" si="23">IF(AJ3="",0,IF(EXACT(RIGHT(AJ3,2),"Hz"),IF(ABS(VALUE(LEFT(AJ3,FIND(" ",AJ3,1)))-AK3)&lt;=0.5,1,-1),-1))</f>
        <v>1</v>
      </c>
      <c r="AN3" s="43"/>
      <c r="AO3" s="34">
        <f t="shared" ref="AO3:AO29" si="24">340/2/PI()*SQRT(PI()*((2+I3/10)/2/1000)^2/((50+I3)/1000/(100+K3*20)*(((3+J3/5)/1000)+PI()/2*((2+I3/10)/2/1000))))</f>
        <v>92.88634413572052</v>
      </c>
      <c r="AP3" s="35" t="s">
        <v>193</v>
      </c>
      <c r="AQ3" s="6">
        <f t="shared" ref="AQ3:AQ29" si="25">IF(AN3="",0,IF(EXACT(RIGHT(AN3,2),"Hz"),IF(ABS(VALUE(LEFT(AN3,FIND(" ",AN3,1)))-AO3)&lt;=5,1,-1),-1))</f>
        <v>0</v>
      </c>
      <c r="AR3" s="53">
        <f t="shared" ref="AR3:AR29" si="26">L3+N3+P3+SUM(R3:V3)+SUM(X3:AB3)+AE3+AI3+AM3+AQ3</f>
        <v>12</v>
      </c>
    </row>
    <row r="4" spans="1:44" ht="12.75" x14ac:dyDescent="0.2">
      <c r="A4" s="40">
        <v>3</v>
      </c>
      <c r="B4" s="41">
        <v>43784.733464490739</v>
      </c>
      <c r="C4" s="42" t="s">
        <v>26</v>
      </c>
      <c r="D4" s="42" t="s">
        <v>27</v>
      </c>
      <c r="E4" s="5">
        <v>313713</v>
      </c>
      <c r="F4" s="5">
        <f t="shared" si="2"/>
        <v>3</v>
      </c>
      <c r="G4" s="5">
        <f t="shared" si="3"/>
        <v>1</v>
      </c>
      <c r="H4" s="5">
        <f t="shared" si="4"/>
        <v>3</v>
      </c>
      <c r="I4" s="5">
        <f t="shared" si="5"/>
        <v>7</v>
      </c>
      <c r="J4" s="5">
        <f t="shared" si="6"/>
        <v>1</v>
      </c>
      <c r="K4" s="5">
        <f t="shared" si="7"/>
        <v>3</v>
      </c>
      <c r="L4" s="6">
        <v>2</v>
      </c>
      <c r="M4" s="42" t="s">
        <v>15</v>
      </c>
      <c r="N4" s="6">
        <v>1</v>
      </c>
      <c r="O4" s="42" t="s">
        <v>22</v>
      </c>
      <c r="P4" s="6">
        <v>1</v>
      </c>
      <c r="Q4" s="42" t="s">
        <v>28</v>
      </c>
      <c r="R4" s="6">
        <f t="shared" si="8"/>
        <v>1</v>
      </c>
      <c r="S4" s="6">
        <f t="shared" si="9"/>
        <v>0</v>
      </c>
      <c r="T4" s="6">
        <f t="shared" si="10"/>
        <v>1</v>
      </c>
      <c r="U4" s="6">
        <f t="shared" si="11"/>
        <v>0</v>
      </c>
      <c r="V4" s="6">
        <f t="shared" si="12"/>
        <v>-1</v>
      </c>
      <c r="W4" s="42" t="s">
        <v>17</v>
      </c>
      <c r="X4" s="6">
        <f t="shared" si="13"/>
        <v>0</v>
      </c>
      <c r="Y4" s="6">
        <f t="shared" si="14"/>
        <v>1</v>
      </c>
      <c r="Z4" s="6">
        <f t="shared" si="15"/>
        <v>0</v>
      </c>
      <c r="AA4" s="6">
        <f t="shared" si="16"/>
        <v>1</v>
      </c>
      <c r="AB4" s="6">
        <f t="shared" si="17"/>
        <v>1</v>
      </c>
      <c r="AC4" s="42">
        <v>0.51949999999999996</v>
      </c>
      <c r="AD4" s="37">
        <f t="shared" si="18"/>
        <v>0.51950599420648391</v>
      </c>
      <c r="AE4" s="6">
        <f t="shared" si="19"/>
        <v>1</v>
      </c>
      <c r="AF4" s="44" t="s">
        <v>29</v>
      </c>
      <c r="AG4" s="34">
        <f t="shared" si="20"/>
        <v>11.955431236223777</v>
      </c>
      <c r="AH4" s="35" t="s">
        <v>179</v>
      </c>
      <c r="AI4" s="6">
        <f t="shared" si="21"/>
        <v>1</v>
      </c>
      <c r="AJ4" s="42" t="s">
        <v>30</v>
      </c>
      <c r="AK4" s="34">
        <f t="shared" si="22"/>
        <v>164.4286167527107</v>
      </c>
      <c r="AL4" s="35" t="s">
        <v>193</v>
      </c>
      <c r="AM4" s="6">
        <f t="shared" si="23"/>
        <v>1</v>
      </c>
      <c r="AN4" s="43"/>
      <c r="AO4" s="34">
        <f t="shared" si="24"/>
        <v>94.048317512216855</v>
      </c>
      <c r="AP4" s="35" t="s">
        <v>193</v>
      </c>
      <c r="AQ4" s="6">
        <f t="shared" si="25"/>
        <v>0</v>
      </c>
      <c r="AR4" s="53">
        <f t="shared" si="26"/>
        <v>11</v>
      </c>
    </row>
    <row r="5" spans="1:44" ht="12.75" x14ac:dyDescent="0.2">
      <c r="A5" s="40">
        <v>4</v>
      </c>
      <c r="B5" s="41">
        <v>43784.734034664347</v>
      </c>
      <c r="C5" s="42" t="s">
        <v>31</v>
      </c>
      <c r="D5" s="42" t="s">
        <v>32</v>
      </c>
      <c r="E5" s="5">
        <v>293860</v>
      </c>
      <c r="F5" s="5">
        <f t="shared" si="2"/>
        <v>2</v>
      </c>
      <c r="G5" s="5">
        <f t="shared" si="3"/>
        <v>9</v>
      </c>
      <c r="H5" s="5">
        <f t="shared" si="4"/>
        <v>3</v>
      </c>
      <c r="I5" s="5">
        <f t="shared" si="5"/>
        <v>8</v>
      </c>
      <c r="J5" s="5">
        <f t="shared" si="6"/>
        <v>6</v>
      </c>
      <c r="K5" s="5">
        <f t="shared" si="7"/>
        <v>0</v>
      </c>
      <c r="L5" s="6">
        <v>2</v>
      </c>
      <c r="M5" s="42" t="s">
        <v>15</v>
      </c>
      <c r="N5" s="6">
        <v>1</v>
      </c>
      <c r="O5" s="42" t="s">
        <v>33</v>
      </c>
      <c r="P5" s="6">
        <v>-1</v>
      </c>
      <c r="Q5" s="42" t="s">
        <v>34</v>
      </c>
      <c r="R5" s="6">
        <f t="shared" si="8"/>
        <v>1</v>
      </c>
      <c r="S5" s="6">
        <f t="shared" si="9"/>
        <v>0</v>
      </c>
      <c r="T5" s="6">
        <f t="shared" si="10"/>
        <v>1</v>
      </c>
      <c r="U5" s="6">
        <f t="shared" si="11"/>
        <v>-1</v>
      </c>
      <c r="V5" s="6">
        <f t="shared" si="12"/>
        <v>0</v>
      </c>
      <c r="W5" s="42" t="s">
        <v>35</v>
      </c>
      <c r="X5" s="6">
        <f t="shared" si="13"/>
        <v>0</v>
      </c>
      <c r="Y5" s="6">
        <f t="shared" si="14"/>
        <v>1</v>
      </c>
      <c r="Z5" s="6">
        <f t="shared" si="15"/>
        <v>-1</v>
      </c>
      <c r="AA5" s="6">
        <f t="shared" si="16"/>
        <v>1</v>
      </c>
      <c r="AB5" s="6">
        <f t="shared" si="17"/>
        <v>0</v>
      </c>
      <c r="AC5" s="42">
        <v>0.46</v>
      </c>
      <c r="AD5" s="37">
        <f t="shared" si="18"/>
        <v>0.46320622194121319</v>
      </c>
      <c r="AE5" s="6">
        <f t="shared" si="19"/>
        <v>1</v>
      </c>
      <c r="AF5" s="42" t="s">
        <v>36</v>
      </c>
      <c r="AG5" s="34">
        <f t="shared" si="20"/>
        <v>14.134793854315355</v>
      </c>
      <c r="AH5" s="35" t="s">
        <v>179</v>
      </c>
      <c r="AI5" s="6">
        <f t="shared" si="21"/>
        <v>1</v>
      </c>
      <c r="AJ5" s="42" t="s">
        <v>37</v>
      </c>
      <c r="AK5" s="34">
        <f t="shared" si="22"/>
        <v>145.29932220445937</v>
      </c>
      <c r="AL5" s="35" t="s">
        <v>193</v>
      </c>
      <c r="AM5" s="6">
        <f t="shared" si="23"/>
        <v>1</v>
      </c>
      <c r="AN5" s="43"/>
      <c r="AO5" s="34">
        <f t="shared" si="24"/>
        <v>69.699244599503615</v>
      </c>
      <c r="AP5" s="35" t="s">
        <v>193</v>
      </c>
      <c r="AQ5" s="6">
        <f t="shared" si="25"/>
        <v>0</v>
      </c>
      <c r="AR5" s="53">
        <f t="shared" si="26"/>
        <v>7</v>
      </c>
    </row>
    <row r="6" spans="1:44" ht="12.75" x14ac:dyDescent="0.2">
      <c r="A6" s="40">
        <v>5</v>
      </c>
      <c r="B6" s="41">
        <v>43784.736293576389</v>
      </c>
      <c r="C6" s="42" t="s">
        <v>38</v>
      </c>
      <c r="D6" s="42" t="s">
        <v>39</v>
      </c>
      <c r="E6" s="5">
        <v>298817</v>
      </c>
      <c r="F6" s="5">
        <f t="shared" si="2"/>
        <v>2</v>
      </c>
      <c r="G6" s="5">
        <f t="shared" si="3"/>
        <v>9</v>
      </c>
      <c r="H6" s="5">
        <f t="shared" si="4"/>
        <v>8</v>
      </c>
      <c r="I6" s="5">
        <f t="shared" si="5"/>
        <v>8</v>
      </c>
      <c r="J6" s="5">
        <f t="shared" si="6"/>
        <v>1</v>
      </c>
      <c r="K6" s="5">
        <f t="shared" si="7"/>
        <v>7</v>
      </c>
      <c r="L6" s="6">
        <v>2</v>
      </c>
      <c r="M6" s="42" t="s">
        <v>15</v>
      </c>
      <c r="N6" s="6">
        <v>1</v>
      </c>
      <c r="O6" s="42" t="s">
        <v>22</v>
      </c>
      <c r="P6" s="6">
        <v>1</v>
      </c>
      <c r="Q6" s="42" t="s">
        <v>40</v>
      </c>
      <c r="R6" s="6">
        <f t="shared" si="8"/>
        <v>1</v>
      </c>
      <c r="S6" s="6">
        <f t="shared" si="9"/>
        <v>1</v>
      </c>
      <c r="T6" s="6">
        <f t="shared" si="10"/>
        <v>0</v>
      </c>
      <c r="U6" s="6">
        <f t="shared" si="11"/>
        <v>0</v>
      </c>
      <c r="V6" s="6">
        <f t="shared" si="12"/>
        <v>0</v>
      </c>
      <c r="W6" s="42" t="s">
        <v>17</v>
      </c>
      <c r="X6" s="6">
        <f t="shared" si="13"/>
        <v>0</v>
      </c>
      <c r="Y6" s="6">
        <f t="shared" si="14"/>
        <v>1</v>
      </c>
      <c r="Z6" s="6">
        <f t="shared" si="15"/>
        <v>0</v>
      </c>
      <c r="AA6" s="6">
        <f t="shared" si="16"/>
        <v>1</v>
      </c>
      <c r="AB6" s="6">
        <f t="shared" si="17"/>
        <v>1</v>
      </c>
      <c r="AC6" s="42">
        <v>0.68</v>
      </c>
      <c r="AD6" s="37">
        <f t="shared" si="18"/>
        <v>0.67935399242386352</v>
      </c>
      <c r="AE6" s="6">
        <f t="shared" si="19"/>
        <v>1</v>
      </c>
      <c r="AF6" s="42" t="s">
        <v>41</v>
      </c>
      <c r="AG6" s="34">
        <f t="shared" si="20"/>
        <v>12.634305256589895</v>
      </c>
      <c r="AH6" s="35" t="s">
        <v>179</v>
      </c>
      <c r="AI6" s="6">
        <f t="shared" si="21"/>
        <v>1</v>
      </c>
      <c r="AJ6" s="42" t="s">
        <v>42</v>
      </c>
      <c r="AK6" s="34">
        <f t="shared" si="22"/>
        <v>158.71460838393182</v>
      </c>
      <c r="AL6" s="35" t="s">
        <v>193</v>
      </c>
      <c r="AM6" s="6">
        <f t="shared" si="23"/>
        <v>1</v>
      </c>
      <c r="AN6" s="43"/>
      <c r="AO6" s="34">
        <f t="shared" si="24"/>
        <v>117.55263311761733</v>
      </c>
      <c r="AP6" s="35" t="s">
        <v>193</v>
      </c>
      <c r="AQ6" s="6">
        <f t="shared" si="25"/>
        <v>0</v>
      </c>
      <c r="AR6" s="53">
        <f t="shared" si="26"/>
        <v>12</v>
      </c>
    </row>
    <row r="7" spans="1:44" ht="12.75" x14ac:dyDescent="0.2">
      <c r="A7" s="40">
        <v>6</v>
      </c>
      <c r="B7" s="41">
        <v>43784.736469733798</v>
      </c>
      <c r="C7" s="42" t="s">
        <v>43</v>
      </c>
      <c r="D7" s="42" t="s">
        <v>44</v>
      </c>
      <c r="E7" s="5">
        <v>309625</v>
      </c>
      <c r="F7" s="5">
        <f t="shared" si="2"/>
        <v>3</v>
      </c>
      <c r="G7" s="5">
        <f t="shared" si="3"/>
        <v>0</v>
      </c>
      <c r="H7" s="5">
        <f t="shared" si="4"/>
        <v>9</v>
      </c>
      <c r="I7" s="5">
        <f t="shared" si="5"/>
        <v>6</v>
      </c>
      <c r="J7" s="5">
        <f t="shared" si="6"/>
        <v>2</v>
      </c>
      <c r="K7" s="5">
        <f t="shared" si="7"/>
        <v>5</v>
      </c>
      <c r="L7" s="6">
        <v>2</v>
      </c>
      <c r="M7" s="42" t="s">
        <v>15</v>
      </c>
      <c r="N7" s="6">
        <v>1</v>
      </c>
      <c r="O7" s="42" t="s">
        <v>12</v>
      </c>
      <c r="P7" s="6">
        <v>-1</v>
      </c>
      <c r="Q7" s="42" t="s">
        <v>45</v>
      </c>
      <c r="R7" s="6">
        <f t="shared" si="8"/>
        <v>1</v>
      </c>
      <c r="S7" s="6">
        <f t="shared" si="9"/>
        <v>0</v>
      </c>
      <c r="T7" s="6">
        <f t="shared" si="10"/>
        <v>0</v>
      </c>
      <c r="U7" s="6">
        <f t="shared" si="11"/>
        <v>0</v>
      </c>
      <c r="V7" s="6">
        <f t="shared" si="12"/>
        <v>-1</v>
      </c>
      <c r="W7" s="42" t="s">
        <v>46</v>
      </c>
      <c r="X7" s="6">
        <f t="shared" si="13"/>
        <v>-1</v>
      </c>
      <c r="Y7" s="6">
        <f t="shared" si="14"/>
        <v>1</v>
      </c>
      <c r="Z7" s="6">
        <f t="shared" si="15"/>
        <v>0</v>
      </c>
      <c r="AA7" s="6">
        <f t="shared" si="16"/>
        <v>0</v>
      </c>
      <c r="AB7" s="6">
        <f t="shared" si="17"/>
        <v>0</v>
      </c>
      <c r="AC7" s="42">
        <v>0.625</v>
      </c>
      <c r="AD7" s="37">
        <f t="shared" si="18"/>
        <v>0.62524685188757856</v>
      </c>
      <c r="AE7" s="6">
        <f t="shared" si="19"/>
        <v>1</v>
      </c>
      <c r="AF7" s="44" t="s">
        <v>47</v>
      </c>
      <c r="AG7" s="34">
        <f t="shared" si="20"/>
        <v>12.638050876530563</v>
      </c>
      <c r="AH7" s="35" t="s">
        <v>179</v>
      </c>
      <c r="AI7" s="6">
        <f t="shared" si="21"/>
        <v>1</v>
      </c>
      <c r="AJ7" s="42" t="s">
        <v>48</v>
      </c>
      <c r="AK7" s="34">
        <f t="shared" si="22"/>
        <v>158.77683720748897</v>
      </c>
      <c r="AL7" s="35" t="s">
        <v>193</v>
      </c>
      <c r="AM7" s="6">
        <f t="shared" si="23"/>
        <v>-1</v>
      </c>
      <c r="AN7" s="42" t="s">
        <v>49</v>
      </c>
      <c r="AO7" s="34">
        <f t="shared" si="24"/>
        <v>101.00843618554831</v>
      </c>
      <c r="AP7" s="35" t="s">
        <v>193</v>
      </c>
      <c r="AQ7" s="6">
        <f t="shared" si="25"/>
        <v>-1</v>
      </c>
      <c r="AR7" s="53">
        <f t="shared" si="26"/>
        <v>2</v>
      </c>
    </row>
    <row r="8" spans="1:44" ht="12.75" x14ac:dyDescent="0.2">
      <c r="A8" s="40">
        <v>7</v>
      </c>
      <c r="B8" s="41">
        <v>43784.736882974539</v>
      </c>
      <c r="C8" s="42" t="s">
        <v>50</v>
      </c>
      <c r="D8" s="42" t="s">
        <v>51</v>
      </c>
      <c r="E8" s="5">
        <v>283103</v>
      </c>
      <c r="F8" s="5">
        <f t="shared" si="2"/>
        <v>2</v>
      </c>
      <c r="G8" s="5">
        <f t="shared" si="3"/>
        <v>8</v>
      </c>
      <c r="H8" s="5">
        <f t="shared" si="4"/>
        <v>3</v>
      </c>
      <c r="I8" s="5">
        <f t="shared" si="5"/>
        <v>1</v>
      </c>
      <c r="J8" s="5">
        <f t="shared" si="6"/>
        <v>0</v>
      </c>
      <c r="K8" s="5">
        <f t="shared" si="7"/>
        <v>3</v>
      </c>
      <c r="L8" s="6">
        <v>2</v>
      </c>
      <c r="M8" s="42" t="s">
        <v>15</v>
      </c>
      <c r="N8" s="6">
        <v>1</v>
      </c>
      <c r="O8" s="42" t="s">
        <v>22</v>
      </c>
      <c r="P8" s="6">
        <v>1</v>
      </c>
      <c r="Q8" s="42" t="s">
        <v>40</v>
      </c>
      <c r="R8" s="6">
        <f t="shared" si="8"/>
        <v>1</v>
      </c>
      <c r="S8" s="6">
        <f t="shared" si="9"/>
        <v>1</v>
      </c>
      <c r="T8" s="6">
        <f t="shared" si="10"/>
        <v>0</v>
      </c>
      <c r="U8" s="6">
        <f t="shared" si="11"/>
        <v>0</v>
      </c>
      <c r="V8" s="6">
        <f t="shared" si="12"/>
        <v>0</v>
      </c>
      <c r="W8" s="42" t="s">
        <v>17</v>
      </c>
      <c r="X8" s="6">
        <f t="shared" si="13"/>
        <v>0</v>
      </c>
      <c r="Y8" s="6">
        <f t="shared" si="14"/>
        <v>1</v>
      </c>
      <c r="Z8" s="6">
        <f t="shared" si="15"/>
        <v>0</v>
      </c>
      <c r="AA8" s="6">
        <f t="shared" si="16"/>
        <v>1</v>
      </c>
      <c r="AB8" s="6">
        <f t="shared" si="17"/>
        <v>1</v>
      </c>
      <c r="AC8" s="42">
        <v>0.5</v>
      </c>
      <c r="AD8" s="37">
        <f t="shared" si="18"/>
        <v>0.49383550232117257</v>
      </c>
      <c r="AE8" s="6">
        <f t="shared" si="19"/>
        <v>1</v>
      </c>
      <c r="AF8" s="42" t="s">
        <v>52</v>
      </c>
      <c r="AG8" s="34">
        <f t="shared" si="20"/>
        <v>9.319163131706496</v>
      </c>
      <c r="AH8" s="35" t="s">
        <v>179</v>
      </c>
      <c r="AI8" s="6">
        <f t="shared" si="21"/>
        <v>1</v>
      </c>
      <c r="AJ8" s="42" t="s">
        <v>53</v>
      </c>
      <c r="AK8" s="34">
        <f t="shared" si="22"/>
        <v>179.53292430792746</v>
      </c>
      <c r="AL8" s="35" t="s">
        <v>193</v>
      </c>
      <c r="AM8" s="6">
        <f t="shared" si="23"/>
        <v>1</v>
      </c>
      <c r="AN8" s="43"/>
      <c r="AO8" s="34">
        <f t="shared" si="24"/>
        <v>82.726131147774097</v>
      </c>
      <c r="AP8" s="35" t="s">
        <v>193</v>
      </c>
      <c r="AQ8" s="6">
        <f t="shared" si="25"/>
        <v>0</v>
      </c>
      <c r="AR8" s="53">
        <f t="shared" si="26"/>
        <v>12</v>
      </c>
    </row>
    <row r="9" spans="1:44" ht="12.75" x14ac:dyDescent="0.2">
      <c r="A9" s="40">
        <v>8</v>
      </c>
      <c r="B9" s="41">
        <v>43784.737596921295</v>
      </c>
      <c r="C9" s="42" t="s">
        <v>54</v>
      </c>
      <c r="D9" s="42" t="s">
        <v>55</v>
      </c>
      <c r="E9" s="5">
        <v>306818</v>
      </c>
      <c r="F9" s="5">
        <f t="shared" si="2"/>
        <v>3</v>
      </c>
      <c r="G9" s="5">
        <f t="shared" si="3"/>
        <v>0</v>
      </c>
      <c r="H9" s="5">
        <f t="shared" si="4"/>
        <v>6</v>
      </c>
      <c r="I9" s="5">
        <f t="shared" si="5"/>
        <v>8</v>
      </c>
      <c r="J9" s="5">
        <f t="shared" si="6"/>
        <v>1</v>
      </c>
      <c r="K9" s="5">
        <f t="shared" si="7"/>
        <v>8</v>
      </c>
      <c r="L9" s="6">
        <v>2</v>
      </c>
      <c r="M9" s="42" t="s">
        <v>15</v>
      </c>
      <c r="N9" s="6">
        <v>1</v>
      </c>
      <c r="O9" s="42" t="s">
        <v>22</v>
      </c>
      <c r="P9" s="6">
        <v>1</v>
      </c>
      <c r="Q9" s="42" t="s">
        <v>40</v>
      </c>
      <c r="R9" s="6">
        <f t="shared" si="8"/>
        <v>1</v>
      </c>
      <c r="S9" s="6">
        <f t="shared" si="9"/>
        <v>1</v>
      </c>
      <c r="T9" s="6">
        <f t="shared" si="10"/>
        <v>0</v>
      </c>
      <c r="U9" s="6">
        <f t="shared" si="11"/>
        <v>0</v>
      </c>
      <c r="V9" s="6">
        <f t="shared" si="12"/>
        <v>0</v>
      </c>
      <c r="W9" s="42" t="s">
        <v>17</v>
      </c>
      <c r="X9" s="6">
        <f t="shared" si="13"/>
        <v>0</v>
      </c>
      <c r="Y9" s="6">
        <f t="shared" si="14"/>
        <v>1</v>
      </c>
      <c r="Z9" s="6">
        <f t="shared" si="15"/>
        <v>0</v>
      </c>
      <c r="AA9" s="6">
        <f t="shared" si="16"/>
        <v>1</v>
      </c>
      <c r="AB9" s="6">
        <f t="shared" si="17"/>
        <v>1</v>
      </c>
      <c r="AC9" s="42">
        <v>0.7</v>
      </c>
      <c r="AD9" s="37">
        <f t="shared" si="18"/>
        <v>0.71931599197820839</v>
      </c>
      <c r="AE9" s="6">
        <f t="shared" si="19"/>
        <v>1</v>
      </c>
      <c r="AF9" s="42" t="s">
        <v>56</v>
      </c>
      <c r="AG9" s="34">
        <f t="shared" si="20"/>
        <v>12.736212500161395</v>
      </c>
      <c r="AH9" s="35" t="s">
        <v>179</v>
      </c>
      <c r="AI9" s="6">
        <f t="shared" si="21"/>
        <v>1</v>
      </c>
      <c r="AJ9" s="42" t="s">
        <v>57</v>
      </c>
      <c r="AK9" s="34">
        <f t="shared" si="22"/>
        <v>157.69392507419249</v>
      </c>
      <c r="AL9" s="35" t="s">
        <v>193</v>
      </c>
      <c r="AM9" s="6">
        <f t="shared" si="23"/>
        <v>1</v>
      </c>
      <c r="AN9" s="43"/>
      <c r="AO9" s="34">
        <f t="shared" si="24"/>
        <v>122.35265975433026</v>
      </c>
      <c r="AP9" s="35" t="s">
        <v>193</v>
      </c>
      <c r="AQ9" s="6">
        <f t="shared" si="25"/>
        <v>0</v>
      </c>
      <c r="AR9" s="53">
        <f t="shared" si="26"/>
        <v>12</v>
      </c>
    </row>
    <row r="10" spans="1:44" ht="12.75" x14ac:dyDescent="0.2">
      <c r="A10" s="40">
        <v>9</v>
      </c>
      <c r="B10" s="41">
        <v>43784.738505462963</v>
      </c>
      <c r="C10" s="42" t="s">
        <v>58</v>
      </c>
      <c r="D10" s="42" t="s">
        <v>59</v>
      </c>
      <c r="E10" s="5">
        <v>300694</v>
      </c>
      <c r="F10" s="5">
        <f t="shared" si="2"/>
        <v>3</v>
      </c>
      <c r="G10" s="5">
        <f t="shared" si="3"/>
        <v>0</v>
      </c>
      <c r="H10" s="5">
        <f t="shared" si="4"/>
        <v>0</v>
      </c>
      <c r="I10" s="5">
        <f t="shared" si="5"/>
        <v>6</v>
      </c>
      <c r="J10" s="5">
        <f t="shared" si="6"/>
        <v>9</v>
      </c>
      <c r="K10" s="5">
        <f t="shared" si="7"/>
        <v>4</v>
      </c>
      <c r="L10" s="6">
        <v>2</v>
      </c>
      <c r="M10" s="42" t="s">
        <v>15</v>
      </c>
      <c r="N10" s="6">
        <v>1</v>
      </c>
      <c r="O10" s="42" t="s">
        <v>22</v>
      </c>
      <c r="P10" s="6">
        <v>1</v>
      </c>
      <c r="Q10" s="42" t="s">
        <v>40</v>
      </c>
      <c r="R10" s="6">
        <f t="shared" si="8"/>
        <v>1</v>
      </c>
      <c r="S10" s="6">
        <f t="shared" si="9"/>
        <v>1</v>
      </c>
      <c r="T10" s="6">
        <f t="shared" si="10"/>
        <v>0</v>
      </c>
      <c r="U10" s="6">
        <f t="shared" si="11"/>
        <v>0</v>
      </c>
      <c r="V10" s="6">
        <f t="shared" si="12"/>
        <v>0</v>
      </c>
      <c r="W10" s="42" t="s">
        <v>17</v>
      </c>
      <c r="X10" s="6">
        <f t="shared" si="13"/>
        <v>0</v>
      </c>
      <c r="Y10" s="6">
        <f t="shared" si="14"/>
        <v>1</v>
      </c>
      <c r="Z10" s="6">
        <f t="shared" si="15"/>
        <v>0</v>
      </c>
      <c r="AA10" s="6">
        <f t="shared" si="16"/>
        <v>1</v>
      </c>
      <c r="AB10" s="6">
        <f t="shared" si="17"/>
        <v>1</v>
      </c>
      <c r="AC10" s="42">
        <v>0.67310000000000003</v>
      </c>
      <c r="AD10" s="37">
        <f t="shared" si="18"/>
        <v>0.67319944728242165</v>
      </c>
      <c r="AE10" s="6">
        <f t="shared" si="19"/>
        <v>1</v>
      </c>
      <c r="AF10" s="44" t="s">
        <v>60</v>
      </c>
      <c r="AG10" s="34">
        <f t="shared" si="20"/>
        <v>14.931665417341458</v>
      </c>
      <c r="AH10" s="35" t="s">
        <v>179</v>
      </c>
      <c r="AI10" s="6">
        <v>1</v>
      </c>
      <c r="AJ10" s="44" t="s">
        <v>61</v>
      </c>
      <c r="AK10" s="34">
        <f t="shared" si="22"/>
        <v>134.53050062515786</v>
      </c>
      <c r="AL10" s="35" t="s">
        <v>193</v>
      </c>
      <c r="AM10" s="6">
        <v>1</v>
      </c>
      <c r="AN10" s="43"/>
      <c r="AO10" s="34">
        <f t="shared" si="24"/>
        <v>85.460794014393116</v>
      </c>
      <c r="AP10" s="35" t="s">
        <v>193</v>
      </c>
      <c r="AQ10" s="6">
        <f t="shared" si="25"/>
        <v>0</v>
      </c>
      <c r="AR10" s="53">
        <f t="shared" si="26"/>
        <v>12</v>
      </c>
    </row>
    <row r="11" spans="1:44" ht="12.75" x14ac:dyDescent="0.2">
      <c r="A11" s="40">
        <v>10</v>
      </c>
      <c r="B11" s="41">
        <v>43784.738995902779</v>
      </c>
      <c r="C11" s="42" t="s">
        <v>62</v>
      </c>
      <c r="D11" s="42" t="s">
        <v>63</v>
      </c>
      <c r="E11" s="5">
        <v>266224</v>
      </c>
      <c r="F11" s="5">
        <f t="shared" si="2"/>
        <v>2</v>
      </c>
      <c r="G11" s="5">
        <f t="shared" si="3"/>
        <v>6</v>
      </c>
      <c r="H11" s="5">
        <f t="shared" si="4"/>
        <v>6</v>
      </c>
      <c r="I11" s="5">
        <f t="shared" si="5"/>
        <v>2</v>
      </c>
      <c r="J11" s="5">
        <f t="shared" si="6"/>
        <v>2</v>
      </c>
      <c r="K11" s="5">
        <f t="shared" si="7"/>
        <v>4</v>
      </c>
      <c r="L11" s="6">
        <v>2</v>
      </c>
      <c r="M11" s="42" t="s">
        <v>15</v>
      </c>
      <c r="N11" s="6">
        <v>1</v>
      </c>
      <c r="O11" s="42" t="s">
        <v>22</v>
      </c>
      <c r="P11" s="6">
        <v>1</v>
      </c>
      <c r="Q11" s="42" t="s">
        <v>64</v>
      </c>
      <c r="R11" s="6">
        <f t="shared" si="8"/>
        <v>1</v>
      </c>
      <c r="S11" s="6">
        <f t="shared" si="9"/>
        <v>0</v>
      </c>
      <c r="T11" s="6">
        <f t="shared" si="10"/>
        <v>0</v>
      </c>
      <c r="U11" s="6">
        <f t="shared" si="11"/>
        <v>-1</v>
      </c>
      <c r="V11" s="6">
        <f t="shared" si="12"/>
        <v>0</v>
      </c>
      <c r="W11" s="42" t="s">
        <v>17</v>
      </c>
      <c r="X11" s="6">
        <f t="shared" si="13"/>
        <v>0</v>
      </c>
      <c r="Y11" s="6">
        <f t="shared" si="14"/>
        <v>1</v>
      </c>
      <c r="Z11" s="6">
        <f t="shared" si="15"/>
        <v>0</v>
      </c>
      <c r="AA11" s="6">
        <f t="shared" si="16"/>
        <v>1</v>
      </c>
      <c r="AB11" s="6">
        <f t="shared" si="17"/>
        <v>1</v>
      </c>
      <c r="AC11" s="42">
        <v>0.58399999999999996</v>
      </c>
      <c r="AD11" s="37">
        <f t="shared" si="18"/>
        <v>0.58356372842840665</v>
      </c>
      <c r="AE11" s="6">
        <f t="shared" si="19"/>
        <v>1</v>
      </c>
      <c r="AF11" s="44" t="s">
        <v>65</v>
      </c>
      <c r="AG11" s="34">
        <f t="shared" si="20"/>
        <v>11.369846562383684</v>
      </c>
      <c r="AH11" s="35" t="s">
        <v>179</v>
      </c>
      <c r="AI11" s="6">
        <f t="shared" si="21"/>
        <v>1</v>
      </c>
      <c r="AJ11" s="42" t="s">
        <v>66</v>
      </c>
      <c r="AK11" s="34">
        <f t="shared" si="22"/>
        <v>165.88008918128847</v>
      </c>
      <c r="AL11" s="35" t="s">
        <v>193</v>
      </c>
      <c r="AM11" s="6">
        <f t="shared" si="23"/>
        <v>1</v>
      </c>
      <c r="AN11" s="43"/>
      <c r="AO11" s="34">
        <f t="shared" si="24"/>
        <v>86.682712969411739</v>
      </c>
      <c r="AP11" s="35" t="s">
        <v>193</v>
      </c>
      <c r="AQ11" s="6">
        <f t="shared" si="25"/>
        <v>0</v>
      </c>
      <c r="AR11" s="53">
        <f t="shared" si="26"/>
        <v>10</v>
      </c>
    </row>
    <row r="12" spans="1:44" ht="12.75" x14ac:dyDescent="0.2">
      <c r="A12" s="40">
        <v>11</v>
      </c>
      <c r="B12" s="41">
        <v>43784.739292233797</v>
      </c>
      <c r="C12" s="42" t="s">
        <v>67</v>
      </c>
      <c r="D12" s="42" t="s">
        <v>68</v>
      </c>
      <c r="E12" s="5">
        <v>293917</v>
      </c>
      <c r="F12" s="5">
        <f t="shared" si="2"/>
        <v>2</v>
      </c>
      <c r="G12" s="5">
        <f t="shared" si="3"/>
        <v>9</v>
      </c>
      <c r="H12" s="5">
        <f t="shared" si="4"/>
        <v>3</v>
      </c>
      <c r="I12" s="5">
        <f t="shared" si="5"/>
        <v>9</v>
      </c>
      <c r="J12" s="5">
        <f t="shared" si="6"/>
        <v>1</v>
      </c>
      <c r="K12" s="5">
        <f t="shared" si="7"/>
        <v>7</v>
      </c>
      <c r="L12" s="6">
        <v>2</v>
      </c>
      <c r="M12" s="42" t="s">
        <v>15</v>
      </c>
      <c r="N12" s="6">
        <v>1</v>
      </c>
      <c r="O12" s="42" t="s">
        <v>22</v>
      </c>
      <c r="P12" s="6">
        <v>1</v>
      </c>
      <c r="Q12" s="42" t="s">
        <v>40</v>
      </c>
      <c r="R12" s="6">
        <f t="shared" si="8"/>
        <v>1</v>
      </c>
      <c r="S12" s="6">
        <f t="shared" si="9"/>
        <v>1</v>
      </c>
      <c r="T12" s="6">
        <f t="shared" si="10"/>
        <v>0</v>
      </c>
      <c r="U12" s="6">
        <f t="shared" si="11"/>
        <v>0</v>
      </c>
      <c r="V12" s="6">
        <f t="shared" si="12"/>
        <v>0</v>
      </c>
      <c r="W12" s="42" t="s">
        <v>17</v>
      </c>
      <c r="X12" s="6">
        <f t="shared" si="13"/>
        <v>0</v>
      </c>
      <c r="Y12" s="6">
        <f t="shared" si="14"/>
        <v>1</v>
      </c>
      <c r="Z12" s="6">
        <f t="shared" si="15"/>
        <v>0</v>
      </c>
      <c r="AA12" s="6">
        <f t="shared" si="16"/>
        <v>1</v>
      </c>
      <c r="AB12" s="6">
        <f t="shared" si="17"/>
        <v>1</v>
      </c>
      <c r="AC12" s="42">
        <v>0.67</v>
      </c>
      <c r="AD12" s="37">
        <f t="shared" si="18"/>
        <v>0.67935399242386352</v>
      </c>
      <c r="AE12" s="6">
        <f t="shared" si="19"/>
        <v>1</v>
      </c>
      <c r="AF12" s="42" t="s">
        <v>69</v>
      </c>
      <c r="AG12" s="34">
        <f t="shared" si="20"/>
        <v>12.855438343647513</v>
      </c>
      <c r="AH12" s="35" t="s">
        <v>179</v>
      </c>
      <c r="AI12" s="6">
        <f t="shared" si="21"/>
        <v>1</v>
      </c>
      <c r="AJ12" s="42" t="s">
        <v>70</v>
      </c>
      <c r="AK12" s="34">
        <f t="shared" si="22"/>
        <v>157.36382119470582</v>
      </c>
      <c r="AL12" s="35" t="s">
        <v>193</v>
      </c>
      <c r="AM12" s="6">
        <f t="shared" si="23"/>
        <v>1</v>
      </c>
      <c r="AN12" s="43"/>
      <c r="AO12" s="34">
        <f t="shared" si="24"/>
        <v>119.84620253290562</v>
      </c>
      <c r="AP12" s="35" t="s">
        <v>193</v>
      </c>
      <c r="AQ12" s="6">
        <f t="shared" si="25"/>
        <v>0</v>
      </c>
      <c r="AR12" s="53">
        <f t="shared" si="26"/>
        <v>12</v>
      </c>
    </row>
    <row r="13" spans="1:44" ht="12.75" x14ac:dyDescent="0.2">
      <c r="A13" s="40">
        <v>12</v>
      </c>
      <c r="B13" s="41">
        <v>43784.739537986112</v>
      </c>
      <c r="C13" s="42" t="s">
        <v>71</v>
      </c>
      <c r="D13" s="42" t="s">
        <v>72</v>
      </c>
      <c r="E13" s="5">
        <v>300032</v>
      </c>
      <c r="F13" s="5">
        <f t="shared" si="2"/>
        <v>3</v>
      </c>
      <c r="G13" s="5">
        <f t="shared" si="3"/>
        <v>0</v>
      </c>
      <c r="H13" s="5">
        <f t="shared" si="4"/>
        <v>0</v>
      </c>
      <c r="I13" s="5">
        <f t="shared" si="5"/>
        <v>0</v>
      </c>
      <c r="J13" s="5">
        <f t="shared" si="6"/>
        <v>3</v>
      </c>
      <c r="K13" s="5">
        <f t="shared" si="7"/>
        <v>2</v>
      </c>
      <c r="L13" s="6">
        <v>2</v>
      </c>
      <c r="M13" s="42" t="s">
        <v>15</v>
      </c>
      <c r="N13" s="6">
        <v>1</v>
      </c>
      <c r="O13" s="42" t="s">
        <v>22</v>
      </c>
      <c r="P13" s="6">
        <v>1</v>
      </c>
      <c r="Q13" s="42" t="s">
        <v>40</v>
      </c>
      <c r="R13" s="6">
        <f t="shared" si="8"/>
        <v>1</v>
      </c>
      <c r="S13" s="6">
        <f t="shared" si="9"/>
        <v>1</v>
      </c>
      <c r="T13" s="6">
        <f t="shared" si="10"/>
        <v>0</v>
      </c>
      <c r="U13" s="6">
        <f t="shared" si="11"/>
        <v>0</v>
      </c>
      <c r="V13" s="6">
        <f t="shared" si="12"/>
        <v>0</v>
      </c>
      <c r="W13" s="42" t="s">
        <v>17</v>
      </c>
      <c r="X13" s="6">
        <f t="shared" si="13"/>
        <v>0</v>
      </c>
      <c r="Y13" s="6">
        <f t="shared" si="14"/>
        <v>1</v>
      </c>
      <c r="Z13" s="6">
        <f t="shared" si="15"/>
        <v>0</v>
      </c>
      <c r="AA13" s="6">
        <f t="shared" si="16"/>
        <v>1</v>
      </c>
      <c r="AB13" s="6">
        <f t="shared" si="17"/>
        <v>1</v>
      </c>
      <c r="AC13" s="42">
        <v>0.51790000000000003</v>
      </c>
      <c r="AD13" s="37">
        <f t="shared" si="18"/>
        <v>0.517915866838074</v>
      </c>
      <c r="AE13" s="6">
        <f t="shared" si="19"/>
        <v>1</v>
      </c>
      <c r="AF13" s="44" t="s">
        <v>73</v>
      </c>
      <c r="AG13" s="34">
        <f t="shared" si="20"/>
        <v>10.95523787630454</v>
      </c>
      <c r="AH13" s="35" t="s">
        <v>179</v>
      </c>
      <c r="AI13" s="6">
        <f t="shared" si="21"/>
        <v>1</v>
      </c>
      <c r="AJ13" s="42" t="s">
        <v>74</v>
      </c>
      <c r="AK13" s="34">
        <f t="shared" si="22"/>
        <v>166.66666666666666</v>
      </c>
      <c r="AL13" s="35" t="s">
        <v>193</v>
      </c>
      <c r="AM13" s="6">
        <f t="shared" si="23"/>
        <v>1</v>
      </c>
      <c r="AN13" s="43"/>
      <c r="AO13" s="34">
        <f t="shared" si="24"/>
        <v>70.578802404671066</v>
      </c>
      <c r="AP13" s="35" t="s">
        <v>193</v>
      </c>
      <c r="AQ13" s="6">
        <f t="shared" si="25"/>
        <v>0</v>
      </c>
      <c r="AR13" s="53">
        <f t="shared" si="26"/>
        <v>12</v>
      </c>
    </row>
    <row r="14" spans="1:44" ht="12.75" x14ac:dyDescent="0.2">
      <c r="A14" s="40">
        <v>13</v>
      </c>
      <c r="B14" s="41">
        <v>43784.74004326389</v>
      </c>
      <c r="C14" s="42" t="s">
        <v>75</v>
      </c>
      <c r="D14" s="42" t="s">
        <v>76</v>
      </c>
      <c r="E14" s="5">
        <v>265302</v>
      </c>
      <c r="F14" s="5">
        <f t="shared" si="2"/>
        <v>2</v>
      </c>
      <c r="G14" s="5">
        <f t="shared" si="3"/>
        <v>6</v>
      </c>
      <c r="H14" s="5">
        <f t="shared" si="4"/>
        <v>5</v>
      </c>
      <c r="I14" s="5">
        <f t="shared" si="5"/>
        <v>3</v>
      </c>
      <c r="J14" s="5">
        <f t="shared" si="6"/>
        <v>0</v>
      </c>
      <c r="K14" s="5">
        <f t="shared" si="7"/>
        <v>2</v>
      </c>
      <c r="L14" s="6">
        <v>2</v>
      </c>
      <c r="M14" s="42" t="s">
        <v>15</v>
      </c>
      <c r="N14" s="6">
        <v>1</v>
      </c>
      <c r="O14" s="42" t="s">
        <v>22</v>
      </c>
      <c r="P14" s="6">
        <v>1</v>
      </c>
      <c r="Q14" s="42" t="s">
        <v>64</v>
      </c>
      <c r="R14" s="6">
        <f t="shared" si="8"/>
        <v>1</v>
      </c>
      <c r="S14" s="6">
        <f t="shared" si="9"/>
        <v>0</v>
      </c>
      <c r="T14" s="6">
        <f t="shared" si="10"/>
        <v>0</v>
      </c>
      <c r="U14" s="6">
        <f t="shared" si="11"/>
        <v>-1</v>
      </c>
      <c r="V14" s="6">
        <f t="shared" si="12"/>
        <v>0</v>
      </c>
      <c r="W14" s="42" t="s">
        <v>17</v>
      </c>
      <c r="X14" s="6">
        <f t="shared" si="13"/>
        <v>0</v>
      </c>
      <c r="Y14" s="6">
        <f t="shared" si="14"/>
        <v>1</v>
      </c>
      <c r="Z14" s="6">
        <f t="shared" si="15"/>
        <v>0</v>
      </c>
      <c r="AA14" s="6">
        <f t="shared" si="16"/>
        <v>1</v>
      </c>
      <c r="AB14" s="6">
        <f t="shared" si="17"/>
        <v>1</v>
      </c>
      <c r="AC14" s="42">
        <v>0.46</v>
      </c>
      <c r="AD14" s="37">
        <f t="shared" si="18"/>
        <v>0.45584815598877465</v>
      </c>
      <c r="AE14" s="6">
        <f t="shared" si="19"/>
        <v>1</v>
      </c>
      <c r="AF14" s="42" t="s">
        <v>77</v>
      </c>
      <c r="AG14" s="34">
        <f t="shared" si="20"/>
        <v>9.8495642157022232</v>
      </c>
      <c r="AH14" s="35" t="s">
        <v>179</v>
      </c>
      <c r="AI14" s="6">
        <f t="shared" si="21"/>
        <v>1</v>
      </c>
      <c r="AJ14" s="42" t="s">
        <v>78</v>
      </c>
      <c r="AK14" s="34">
        <f t="shared" si="22"/>
        <v>177.33172553297717</v>
      </c>
      <c r="AL14" s="35" t="s">
        <v>193</v>
      </c>
      <c r="AM14" s="6">
        <f t="shared" si="23"/>
        <v>-1</v>
      </c>
      <c r="AN14" s="43"/>
      <c r="AO14" s="34">
        <f t="shared" si="24"/>
        <v>81.768727681659328</v>
      </c>
      <c r="AP14" s="35" t="s">
        <v>193</v>
      </c>
      <c r="AQ14" s="6">
        <f t="shared" si="25"/>
        <v>0</v>
      </c>
      <c r="AR14" s="53">
        <f t="shared" si="26"/>
        <v>8</v>
      </c>
    </row>
    <row r="15" spans="1:44" ht="12.75" x14ac:dyDescent="0.2">
      <c r="A15" s="40">
        <v>14</v>
      </c>
      <c r="B15" s="41">
        <v>43784.740073541667</v>
      </c>
      <c r="C15" s="42" t="s">
        <v>79</v>
      </c>
      <c r="D15" s="42" t="s">
        <v>80</v>
      </c>
      <c r="E15" s="5">
        <v>302598</v>
      </c>
      <c r="F15" s="5">
        <f t="shared" si="2"/>
        <v>3</v>
      </c>
      <c r="G15" s="5">
        <f t="shared" si="3"/>
        <v>0</v>
      </c>
      <c r="H15" s="5">
        <f t="shared" si="4"/>
        <v>2</v>
      </c>
      <c r="I15" s="5">
        <f t="shared" si="5"/>
        <v>5</v>
      </c>
      <c r="J15" s="5">
        <f t="shared" si="6"/>
        <v>9</v>
      </c>
      <c r="K15" s="5">
        <f t="shared" si="7"/>
        <v>8</v>
      </c>
      <c r="L15" s="6">
        <v>2</v>
      </c>
      <c r="M15" s="42" t="s">
        <v>15</v>
      </c>
      <c r="N15" s="6">
        <v>1</v>
      </c>
      <c r="O15" s="42" t="s">
        <v>22</v>
      </c>
      <c r="P15" s="6">
        <v>1</v>
      </c>
      <c r="Q15" s="42" t="s">
        <v>64</v>
      </c>
      <c r="R15" s="6">
        <f t="shared" si="8"/>
        <v>1</v>
      </c>
      <c r="S15" s="6">
        <f t="shared" si="9"/>
        <v>0</v>
      </c>
      <c r="T15" s="6">
        <f t="shared" si="10"/>
        <v>0</v>
      </c>
      <c r="U15" s="6">
        <f t="shared" si="11"/>
        <v>-1</v>
      </c>
      <c r="V15" s="6">
        <f t="shared" si="12"/>
        <v>0</v>
      </c>
      <c r="W15" s="42" t="s">
        <v>17</v>
      </c>
      <c r="X15" s="6">
        <f t="shared" si="13"/>
        <v>0</v>
      </c>
      <c r="Y15" s="6">
        <f t="shared" si="14"/>
        <v>1</v>
      </c>
      <c r="Z15" s="6">
        <f t="shared" si="15"/>
        <v>0</v>
      </c>
      <c r="AA15" s="6">
        <f t="shared" si="16"/>
        <v>1</v>
      </c>
      <c r="AB15" s="6">
        <f t="shared" si="17"/>
        <v>1</v>
      </c>
      <c r="AC15" s="42">
        <v>0.87</v>
      </c>
      <c r="AD15" s="37">
        <f t="shared" si="18"/>
        <v>0.86554214650597083</v>
      </c>
      <c r="AE15" s="6">
        <f t="shared" si="19"/>
        <v>1</v>
      </c>
      <c r="AF15" s="42" t="s">
        <v>81</v>
      </c>
      <c r="AG15" s="34">
        <f t="shared" si="20"/>
        <v>15.150241141907749</v>
      </c>
      <c r="AH15" s="35" t="s">
        <v>179</v>
      </c>
      <c r="AI15" s="6">
        <f t="shared" si="21"/>
        <v>1</v>
      </c>
      <c r="AJ15" s="42" t="s">
        <v>82</v>
      </c>
      <c r="AK15" s="34">
        <f t="shared" si="22"/>
        <v>132.22147133698627</v>
      </c>
      <c r="AL15" s="35" t="s">
        <v>193</v>
      </c>
      <c r="AM15" s="6">
        <f t="shared" si="23"/>
        <v>1</v>
      </c>
      <c r="AN15" s="43"/>
      <c r="AO15" s="34">
        <f t="shared" si="24"/>
        <v>100.23138408099598</v>
      </c>
      <c r="AP15" s="35" t="s">
        <v>193</v>
      </c>
      <c r="AQ15" s="6">
        <f t="shared" si="25"/>
        <v>0</v>
      </c>
      <c r="AR15" s="53">
        <f t="shared" si="26"/>
        <v>10</v>
      </c>
    </row>
    <row r="16" spans="1:44" ht="12.75" x14ac:dyDescent="0.2">
      <c r="A16" s="40">
        <v>15</v>
      </c>
      <c r="B16" s="41">
        <v>43784.740112187501</v>
      </c>
      <c r="C16" s="42" t="s">
        <v>83</v>
      </c>
      <c r="D16" s="42" t="s">
        <v>84</v>
      </c>
      <c r="E16" s="5">
        <v>309185</v>
      </c>
      <c r="F16" s="5">
        <f t="shared" si="2"/>
        <v>3</v>
      </c>
      <c r="G16" s="5">
        <f t="shared" si="3"/>
        <v>0</v>
      </c>
      <c r="H16" s="5">
        <f t="shared" si="4"/>
        <v>9</v>
      </c>
      <c r="I16" s="5">
        <f t="shared" si="5"/>
        <v>1</v>
      </c>
      <c r="J16" s="5">
        <f t="shared" si="6"/>
        <v>8</v>
      </c>
      <c r="K16" s="5">
        <f t="shared" si="7"/>
        <v>5</v>
      </c>
      <c r="L16" s="6">
        <v>2</v>
      </c>
      <c r="M16" s="42" t="s">
        <v>15</v>
      </c>
      <c r="N16" s="6">
        <v>1</v>
      </c>
      <c r="O16" s="42" t="s">
        <v>22</v>
      </c>
      <c r="P16" s="6">
        <v>1</v>
      </c>
      <c r="Q16" s="42" t="s">
        <v>64</v>
      </c>
      <c r="R16" s="6">
        <f t="shared" si="8"/>
        <v>1</v>
      </c>
      <c r="S16" s="6">
        <f t="shared" si="9"/>
        <v>0</v>
      </c>
      <c r="T16" s="6">
        <f t="shared" si="10"/>
        <v>0</v>
      </c>
      <c r="U16" s="6">
        <f t="shared" si="11"/>
        <v>-1</v>
      </c>
      <c r="V16" s="6">
        <f t="shared" si="12"/>
        <v>0</v>
      </c>
      <c r="W16" s="42" t="s">
        <v>17</v>
      </c>
      <c r="X16" s="6">
        <f t="shared" si="13"/>
        <v>0</v>
      </c>
      <c r="Y16" s="6">
        <f t="shared" si="14"/>
        <v>1</v>
      </c>
      <c r="Z16" s="6">
        <f t="shared" si="15"/>
        <v>0</v>
      </c>
      <c r="AA16" s="6">
        <f t="shared" si="16"/>
        <v>1</v>
      </c>
      <c r="AB16" s="6">
        <f t="shared" si="17"/>
        <v>1</v>
      </c>
      <c r="AC16" s="42">
        <v>0.71419999999999995</v>
      </c>
      <c r="AD16" s="37">
        <f t="shared" si="18"/>
        <v>0.71420495922434712</v>
      </c>
      <c r="AE16" s="6">
        <f t="shared" si="19"/>
        <v>1</v>
      </c>
      <c r="AF16" s="42" t="s">
        <v>85</v>
      </c>
      <c r="AG16" s="34">
        <f t="shared" si="20"/>
        <v>13.367151511163719</v>
      </c>
      <c r="AH16" s="35" t="s">
        <v>179</v>
      </c>
      <c r="AI16" s="6">
        <f t="shared" si="21"/>
        <v>1</v>
      </c>
      <c r="AJ16" s="44" t="s">
        <v>86</v>
      </c>
      <c r="AK16" s="34">
        <f t="shared" si="22"/>
        <v>143.03970797043033</v>
      </c>
      <c r="AL16" s="35" t="s">
        <v>193</v>
      </c>
      <c r="AM16" s="6">
        <v>1</v>
      </c>
      <c r="AN16" s="43"/>
      <c r="AO16" s="34">
        <f t="shared" si="24"/>
        <v>79.776733732084693</v>
      </c>
      <c r="AP16" s="35" t="s">
        <v>193</v>
      </c>
      <c r="AQ16" s="6">
        <f t="shared" si="25"/>
        <v>0</v>
      </c>
      <c r="AR16" s="53">
        <f t="shared" si="26"/>
        <v>10</v>
      </c>
    </row>
    <row r="17" spans="1:44" ht="12.75" x14ac:dyDescent="0.2">
      <c r="A17" s="40">
        <v>16</v>
      </c>
      <c r="B17" s="41">
        <v>43784.740125856479</v>
      </c>
      <c r="C17" s="42" t="s">
        <v>87</v>
      </c>
      <c r="D17" s="42" t="s">
        <v>88</v>
      </c>
      <c r="E17" s="5">
        <v>286350</v>
      </c>
      <c r="F17" s="5">
        <f t="shared" si="2"/>
        <v>2</v>
      </c>
      <c r="G17" s="5">
        <f t="shared" si="3"/>
        <v>8</v>
      </c>
      <c r="H17" s="5">
        <f t="shared" si="4"/>
        <v>6</v>
      </c>
      <c r="I17" s="5">
        <f t="shared" si="5"/>
        <v>3</v>
      </c>
      <c r="J17" s="5">
        <f t="shared" si="6"/>
        <v>5</v>
      </c>
      <c r="K17" s="5">
        <f t="shared" si="7"/>
        <v>0</v>
      </c>
      <c r="L17" s="6">
        <v>2</v>
      </c>
      <c r="M17" s="42" t="s">
        <v>15</v>
      </c>
      <c r="N17" s="6">
        <v>1</v>
      </c>
      <c r="O17" s="42" t="s">
        <v>12</v>
      </c>
      <c r="P17" s="6">
        <v>-1</v>
      </c>
      <c r="Q17" s="42" t="s">
        <v>23</v>
      </c>
      <c r="R17" s="6">
        <f t="shared" si="8"/>
        <v>1</v>
      </c>
      <c r="S17" s="6">
        <f t="shared" si="9"/>
        <v>0</v>
      </c>
      <c r="T17" s="6">
        <f t="shared" si="10"/>
        <v>1</v>
      </c>
      <c r="U17" s="6">
        <f t="shared" si="11"/>
        <v>0</v>
      </c>
      <c r="V17" s="6">
        <f t="shared" si="12"/>
        <v>0</v>
      </c>
      <c r="W17" s="42" t="s">
        <v>89</v>
      </c>
      <c r="X17" s="6">
        <f t="shared" si="13"/>
        <v>0</v>
      </c>
      <c r="Y17" s="6">
        <f t="shared" si="14"/>
        <v>1</v>
      </c>
      <c r="Z17" s="6">
        <f t="shared" si="15"/>
        <v>-1</v>
      </c>
      <c r="AA17" s="6">
        <f t="shared" si="16"/>
        <v>0</v>
      </c>
      <c r="AB17" s="6">
        <f t="shared" si="17"/>
        <v>1</v>
      </c>
      <c r="AC17" s="42">
        <v>0.45</v>
      </c>
      <c r="AD17" s="37">
        <f t="shared" si="18"/>
        <v>0.45454545454545453</v>
      </c>
      <c r="AE17" s="6">
        <f t="shared" si="19"/>
        <v>1</v>
      </c>
      <c r="AF17" s="43"/>
      <c r="AG17" s="34">
        <f t="shared" si="20"/>
        <v>12.522460504731184</v>
      </c>
      <c r="AH17" s="35" t="s">
        <v>179</v>
      </c>
      <c r="AI17" s="6">
        <f t="shared" si="21"/>
        <v>0</v>
      </c>
      <c r="AJ17" s="42" t="s">
        <v>90</v>
      </c>
      <c r="AK17" s="34">
        <f t="shared" si="22"/>
        <v>155.75223949534953</v>
      </c>
      <c r="AL17" s="35" t="s">
        <v>193</v>
      </c>
      <c r="AM17" s="6">
        <f t="shared" si="23"/>
        <v>-1</v>
      </c>
      <c r="AN17" s="43"/>
      <c r="AO17" s="34">
        <f t="shared" si="24"/>
        <v>62.875264520545059</v>
      </c>
      <c r="AP17" s="35" t="s">
        <v>193</v>
      </c>
      <c r="AQ17" s="6">
        <f t="shared" si="25"/>
        <v>0</v>
      </c>
      <c r="AR17" s="53">
        <f t="shared" si="26"/>
        <v>5</v>
      </c>
    </row>
    <row r="18" spans="1:44" ht="12.75" x14ac:dyDescent="0.2">
      <c r="A18" s="40">
        <v>17</v>
      </c>
      <c r="B18" s="41">
        <v>43784.740131817132</v>
      </c>
      <c r="C18" s="42" t="s">
        <v>91</v>
      </c>
      <c r="D18" s="42" t="s">
        <v>92</v>
      </c>
      <c r="E18" s="5">
        <v>259267</v>
      </c>
      <c r="F18" s="5">
        <f t="shared" si="2"/>
        <v>2</v>
      </c>
      <c r="G18" s="5">
        <f t="shared" si="3"/>
        <v>5</v>
      </c>
      <c r="H18" s="5">
        <f t="shared" si="4"/>
        <v>9</v>
      </c>
      <c r="I18" s="5">
        <f t="shared" si="5"/>
        <v>2</v>
      </c>
      <c r="J18" s="5">
        <f t="shared" si="6"/>
        <v>6</v>
      </c>
      <c r="K18" s="5">
        <f t="shared" si="7"/>
        <v>7</v>
      </c>
      <c r="L18" s="6">
        <v>2</v>
      </c>
      <c r="M18" s="42" t="s">
        <v>15</v>
      </c>
      <c r="N18" s="6">
        <v>1</v>
      </c>
      <c r="O18" s="42" t="s">
        <v>22</v>
      </c>
      <c r="P18" s="6">
        <v>1</v>
      </c>
      <c r="Q18" s="42" t="s">
        <v>40</v>
      </c>
      <c r="R18" s="6">
        <f t="shared" si="8"/>
        <v>1</v>
      </c>
      <c r="S18" s="6">
        <f t="shared" si="9"/>
        <v>1</v>
      </c>
      <c r="T18" s="6">
        <f t="shared" si="10"/>
        <v>0</v>
      </c>
      <c r="U18" s="6">
        <f t="shared" si="11"/>
        <v>0</v>
      </c>
      <c r="V18" s="6">
        <f t="shared" si="12"/>
        <v>0</v>
      </c>
      <c r="W18" s="42" t="s">
        <v>17</v>
      </c>
      <c r="X18" s="6">
        <f t="shared" si="13"/>
        <v>0</v>
      </c>
      <c r="Y18" s="6">
        <f t="shared" si="14"/>
        <v>1</v>
      </c>
      <c r="Z18" s="6">
        <f t="shared" si="15"/>
        <v>0</v>
      </c>
      <c r="AA18" s="6">
        <f t="shared" si="16"/>
        <v>1</v>
      </c>
      <c r="AB18" s="6">
        <f t="shared" si="17"/>
        <v>1</v>
      </c>
      <c r="AC18" s="42">
        <v>0.78700000000000003</v>
      </c>
      <c r="AD18" s="37">
        <f t="shared" si="18"/>
        <v>0.7874505773000624</v>
      </c>
      <c r="AE18" s="6">
        <f t="shared" si="19"/>
        <v>1</v>
      </c>
      <c r="AF18" s="44" t="s">
        <v>93</v>
      </c>
      <c r="AG18" s="34">
        <f t="shared" si="20"/>
        <v>13.40508080446229</v>
      </c>
      <c r="AH18" s="35" t="s">
        <v>179</v>
      </c>
      <c r="AI18" s="6">
        <f t="shared" si="21"/>
        <v>1</v>
      </c>
      <c r="AJ18" s="42" t="s">
        <v>94</v>
      </c>
      <c r="AK18" s="34">
        <f t="shared" si="22"/>
        <v>146.31187328548262</v>
      </c>
      <c r="AL18" s="35" t="s">
        <v>193</v>
      </c>
      <c r="AM18" s="6">
        <f t="shared" si="23"/>
        <v>1</v>
      </c>
      <c r="AN18" s="43"/>
      <c r="AO18" s="34">
        <f t="shared" si="24"/>
        <v>93.093865880075711</v>
      </c>
      <c r="AP18" s="35" t="s">
        <v>193</v>
      </c>
      <c r="AQ18" s="6">
        <f t="shared" si="25"/>
        <v>0</v>
      </c>
      <c r="AR18" s="53">
        <f t="shared" si="26"/>
        <v>12</v>
      </c>
    </row>
    <row r="19" spans="1:44" ht="12.75" x14ac:dyDescent="0.2">
      <c r="A19" s="40">
        <v>18</v>
      </c>
      <c r="B19" s="41">
        <v>43784.740202986111</v>
      </c>
      <c r="C19" s="42" t="s">
        <v>95</v>
      </c>
      <c r="D19" s="42" t="s">
        <v>96</v>
      </c>
      <c r="E19" s="5">
        <v>265791</v>
      </c>
      <c r="F19" s="5">
        <f t="shared" si="2"/>
        <v>2</v>
      </c>
      <c r="G19" s="5">
        <f t="shared" si="3"/>
        <v>6</v>
      </c>
      <c r="H19" s="5">
        <f t="shared" si="4"/>
        <v>5</v>
      </c>
      <c r="I19" s="5">
        <f t="shared" si="5"/>
        <v>7</v>
      </c>
      <c r="J19" s="5">
        <f t="shared" si="6"/>
        <v>9</v>
      </c>
      <c r="K19" s="5">
        <f t="shared" si="7"/>
        <v>1</v>
      </c>
      <c r="L19" s="6">
        <v>2</v>
      </c>
      <c r="M19" s="42" t="s">
        <v>15</v>
      </c>
      <c r="N19" s="6">
        <v>1</v>
      </c>
      <c r="O19" s="42" t="s">
        <v>22</v>
      </c>
      <c r="P19" s="6">
        <v>1</v>
      </c>
      <c r="Q19" s="42" t="s">
        <v>97</v>
      </c>
      <c r="R19" s="6">
        <f t="shared" si="8"/>
        <v>1</v>
      </c>
      <c r="S19" s="6">
        <f t="shared" si="9"/>
        <v>1</v>
      </c>
      <c r="T19" s="6">
        <f t="shared" si="10"/>
        <v>0</v>
      </c>
      <c r="U19" s="6">
        <f t="shared" si="11"/>
        <v>-1</v>
      </c>
      <c r="V19" s="6">
        <f t="shared" si="12"/>
        <v>0</v>
      </c>
      <c r="W19" s="42" t="s">
        <v>17</v>
      </c>
      <c r="X19" s="6">
        <f t="shared" si="13"/>
        <v>0</v>
      </c>
      <c r="Y19" s="6">
        <f t="shared" si="14"/>
        <v>1</v>
      </c>
      <c r="Z19" s="6">
        <f t="shared" si="15"/>
        <v>0</v>
      </c>
      <c r="AA19" s="6">
        <f t="shared" si="16"/>
        <v>1</v>
      </c>
      <c r="AB19" s="6">
        <f t="shared" si="17"/>
        <v>1</v>
      </c>
      <c r="AC19" s="42">
        <v>0.52890000000000004</v>
      </c>
      <c r="AD19" s="37">
        <f t="shared" si="18"/>
        <v>0.52894242286476001</v>
      </c>
      <c r="AE19" s="6">
        <f t="shared" si="19"/>
        <v>1</v>
      </c>
      <c r="AF19" s="44" t="s">
        <v>98</v>
      </c>
      <c r="AG19" s="34">
        <f t="shared" si="20"/>
        <v>14.766404415159396</v>
      </c>
      <c r="AH19" s="35" t="s">
        <v>179</v>
      </c>
      <c r="AI19" s="6">
        <f t="shared" si="21"/>
        <v>1</v>
      </c>
      <c r="AJ19" s="42" t="s">
        <v>99</v>
      </c>
      <c r="AK19" s="34">
        <f t="shared" si="22"/>
        <v>136.13319252933252</v>
      </c>
      <c r="AL19" s="35" t="s">
        <v>193</v>
      </c>
      <c r="AM19" s="6">
        <f t="shared" si="23"/>
        <v>1</v>
      </c>
      <c r="AN19" s="43"/>
      <c r="AO19" s="34">
        <f t="shared" si="24"/>
        <v>71.415068589055579</v>
      </c>
      <c r="AP19" s="35" t="s">
        <v>193</v>
      </c>
      <c r="AQ19" s="6">
        <f t="shared" si="25"/>
        <v>0</v>
      </c>
      <c r="AR19" s="53">
        <f t="shared" si="26"/>
        <v>11</v>
      </c>
    </row>
    <row r="20" spans="1:44" ht="12.75" x14ac:dyDescent="0.2">
      <c r="A20" s="40">
        <v>19</v>
      </c>
      <c r="B20" s="41">
        <v>43784.740248831018</v>
      </c>
      <c r="C20" s="42" t="s">
        <v>100</v>
      </c>
      <c r="D20" s="42" t="s">
        <v>101</v>
      </c>
      <c r="E20" s="5">
        <v>300839</v>
      </c>
      <c r="F20" s="5">
        <f t="shared" si="2"/>
        <v>3</v>
      </c>
      <c r="G20" s="5">
        <f t="shared" si="3"/>
        <v>0</v>
      </c>
      <c r="H20" s="5">
        <f t="shared" si="4"/>
        <v>0</v>
      </c>
      <c r="I20" s="5">
        <f t="shared" si="5"/>
        <v>8</v>
      </c>
      <c r="J20" s="5">
        <f t="shared" si="6"/>
        <v>3</v>
      </c>
      <c r="K20" s="5">
        <f t="shared" si="7"/>
        <v>9</v>
      </c>
      <c r="L20" s="6">
        <v>2</v>
      </c>
      <c r="M20" s="42" t="s">
        <v>15</v>
      </c>
      <c r="N20" s="6">
        <v>1</v>
      </c>
      <c r="O20" s="42" t="s">
        <v>22</v>
      </c>
      <c r="P20" s="6">
        <v>1</v>
      </c>
      <c r="Q20" s="42" t="s">
        <v>40</v>
      </c>
      <c r="R20" s="6">
        <f t="shared" si="8"/>
        <v>1</v>
      </c>
      <c r="S20" s="6">
        <f t="shared" si="9"/>
        <v>1</v>
      </c>
      <c r="T20" s="6">
        <f t="shared" si="10"/>
        <v>0</v>
      </c>
      <c r="U20" s="6">
        <f t="shared" si="11"/>
        <v>0</v>
      </c>
      <c r="V20" s="6">
        <f t="shared" si="12"/>
        <v>0</v>
      </c>
      <c r="W20" s="42" t="s">
        <v>17</v>
      </c>
      <c r="X20" s="6">
        <f t="shared" si="13"/>
        <v>0</v>
      </c>
      <c r="Y20" s="6">
        <f t="shared" si="14"/>
        <v>1</v>
      </c>
      <c r="Z20" s="6">
        <f t="shared" si="15"/>
        <v>0</v>
      </c>
      <c r="AA20" s="6">
        <f t="shared" si="16"/>
        <v>1</v>
      </c>
      <c r="AB20" s="6">
        <f t="shared" si="17"/>
        <v>1</v>
      </c>
      <c r="AC20" s="42">
        <v>0.82003000000000004</v>
      </c>
      <c r="AD20" s="37">
        <f t="shared" si="18"/>
        <v>0.82003345582695053</v>
      </c>
      <c r="AE20" s="6">
        <f t="shared" si="19"/>
        <v>1</v>
      </c>
      <c r="AF20" s="42" t="s">
        <v>102</v>
      </c>
      <c r="AG20" s="34">
        <f t="shared" si="20"/>
        <v>14.097721542850101</v>
      </c>
      <c r="AH20" s="35" t="s">
        <v>179</v>
      </c>
      <c r="AI20" s="6">
        <f t="shared" si="21"/>
        <v>1</v>
      </c>
      <c r="AJ20" s="42" t="s">
        <v>103</v>
      </c>
      <c r="AK20" s="34">
        <f t="shared" si="22"/>
        <v>147.73127892422914</v>
      </c>
      <c r="AL20" s="35" t="s">
        <v>193</v>
      </c>
      <c r="AM20" s="6">
        <f t="shared" si="23"/>
        <v>1</v>
      </c>
      <c r="AN20" s="43"/>
      <c r="AO20" s="34">
        <f t="shared" si="24"/>
        <v>122.51413112961944</v>
      </c>
      <c r="AP20" s="35" t="s">
        <v>193</v>
      </c>
      <c r="AQ20" s="6">
        <f t="shared" si="25"/>
        <v>0</v>
      </c>
      <c r="AR20" s="53">
        <f t="shared" si="26"/>
        <v>12</v>
      </c>
    </row>
    <row r="21" spans="1:44" ht="12.75" x14ac:dyDescent="0.2">
      <c r="A21" s="40">
        <v>20</v>
      </c>
      <c r="B21" s="41">
        <v>43784.740356759256</v>
      </c>
      <c r="C21" s="42" t="s">
        <v>104</v>
      </c>
      <c r="D21" s="42" t="s">
        <v>105</v>
      </c>
      <c r="E21" s="5">
        <v>304065</v>
      </c>
      <c r="F21" s="5">
        <f t="shared" si="2"/>
        <v>3</v>
      </c>
      <c r="G21" s="5">
        <f t="shared" si="3"/>
        <v>0</v>
      </c>
      <c r="H21" s="5">
        <f t="shared" si="4"/>
        <v>4</v>
      </c>
      <c r="I21" s="5">
        <f t="shared" si="5"/>
        <v>0</v>
      </c>
      <c r="J21" s="5">
        <f t="shared" si="6"/>
        <v>6</v>
      </c>
      <c r="K21" s="5">
        <f t="shared" si="7"/>
        <v>5</v>
      </c>
      <c r="L21" s="6">
        <v>2</v>
      </c>
      <c r="M21" s="42" t="s">
        <v>15</v>
      </c>
      <c r="N21" s="6">
        <v>1</v>
      </c>
      <c r="O21" s="42" t="s">
        <v>12</v>
      </c>
      <c r="P21" s="6">
        <v>-1</v>
      </c>
      <c r="Q21" s="42" t="s">
        <v>34</v>
      </c>
      <c r="R21" s="6">
        <f t="shared" si="8"/>
        <v>1</v>
      </c>
      <c r="S21" s="6">
        <f t="shared" si="9"/>
        <v>0</v>
      </c>
      <c r="T21" s="6">
        <f t="shared" si="10"/>
        <v>1</v>
      </c>
      <c r="U21" s="6">
        <f t="shared" si="11"/>
        <v>-1</v>
      </c>
      <c r="V21" s="6">
        <f t="shared" si="12"/>
        <v>0</v>
      </c>
      <c r="W21" s="42" t="s">
        <v>17</v>
      </c>
      <c r="X21" s="6">
        <f t="shared" si="13"/>
        <v>0</v>
      </c>
      <c r="Y21" s="6">
        <f t="shared" si="14"/>
        <v>1</v>
      </c>
      <c r="Z21" s="6">
        <f t="shared" si="15"/>
        <v>0</v>
      </c>
      <c r="AA21" s="6">
        <f t="shared" si="16"/>
        <v>1</v>
      </c>
      <c r="AB21" s="6">
        <f t="shared" si="17"/>
        <v>1</v>
      </c>
      <c r="AC21" s="42">
        <v>0.69479999999999997</v>
      </c>
      <c r="AD21" s="37">
        <f t="shared" si="18"/>
        <v>0.69480933291181979</v>
      </c>
      <c r="AE21" s="6">
        <f t="shared" si="19"/>
        <v>1</v>
      </c>
      <c r="AF21" s="42" t="s">
        <v>106</v>
      </c>
      <c r="AG21" s="34">
        <f t="shared" si="20"/>
        <v>12.464871295431628</v>
      </c>
      <c r="AH21" s="35" t="s">
        <v>179</v>
      </c>
      <c r="AI21" s="6">
        <f t="shared" si="21"/>
        <v>1</v>
      </c>
      <c r="AJ21" s="42" t="s">
        <v>107</v>
      </c>
      <c r="AK21" s="34">
        <f t="shared" si="22"/>
        <v>151.18578920369089</v>
      </c>
      <c r="AL21" s="35" t="s">
        <v>193</v>
      </c>
      <c r="AM21" s="6">
        <f t="shared" si="23"/>
        <v>1</v>
      </c>
      <c r="AN21" s="43"/>
      <c r="AO21" s="34">
        <f t="shared" si="24"/>
        <v>79.852056861698131</v>
      </c>
      <c r="AP21" s="35" t="s">
        <v>193</v>
      </c>
      <c r="AQ21" s="6">
        <f t="shared" si="25"/>
        <v>0</v>
      </c>
      <c r="AR21" s="53">
        <f t="shared" si="26"/>
        <v>9</v>
      </c>
    </row>
    <row r="22" spans="1:44" ht="12.75" x14ac:dyDescent="0.2">
      <c r="A22" s="40">
        <v>21</v>
      </c>
      <c r="B22" s="41">
        <v>43784.740430590275</v>
      </c>
      <c r="C22" s="42" t="s">
        <v>108</v>
      </c>
      <c r="D22" s="42" t="s">
        <v>109</v>
      </c>
      <c r="E22" s="5">
        <v>313890</v>
      </c>
      <c r="F22" s="5">
        <f t="shared" si="2"/>
        <v>3</v>
      </c>
      <c r="G22" s="5">
        <f t="shared" si="3"/>
        <v>1</v>
      </c>
      <c r="H22" s="5">
        <f t="shared" si="4"/>
        <v>3</v>
      </c>
      <c r="I22" s="5">
        <f t="shared" si="5"/>
        <v>8</v>
      </c>
      <c r="J22" s="5">
        <f t="shared" si="6"/>
        <v>9</v>
      </c>
      <c r="K22" s="5">
        <f t="shared" si="7"/>
        <v>0</v>
      </c>
      <c r="L22" s="6">
        <v>2</v>
      </c>
      <c r="M22" s="42" t="s">
        <v>15</v>
      </c>
      <c r="N22" s="6">
        <v>1</v>
      </c>
      <c r="O22" s="42" t="s">
        <v>22</v>
      </c>
      <c r="P22" s="6">
        <v>1</v>
      </c>
      <c r="Q22" s="42" t="s">
        <v>16</v>
      </c>
      <c r="R22" s="6">
        <f t="shared" si="8"/>
        <v>1</v>
      </c>
      <c r="S22" s="6">
        <f t="shared" si="9"/>
        <v>1</v>
      </c>
      <c r="T22" s="6">
        <f t="shared" si="10"/>
        <v>1</v>
      </c>
      <c r="U22" s="6">
        <f t="shared" si="11"/>
        <v>0</v>
      </c>
      <c r="V22" s="6">
        <f t="shared" si="12"/>
        <v>0</v>
      </c>
      <c r="W22" s="42" t="s">
        <v>17</v>
      </c>
      <c r="X22" s="6">
        <f t="shared" si="13"/>
        <v>0</v>
      </c>
      <c r="Y22" s="6">
        <f t="shared" si="14"/>
        <v>1</v>
      </c>
      <c r="Z22" s="6">
        <f t="shared" si="15"/>
        <v>0</v>
      </c>
      <c r="AA22" s="6">
        <f t="shared" si="16"/>
        <v>1</v>
      </c>
      <c r="AB22" s="6">
        <f t="shared" si="17"/>
        <v>1</v>
      </c>
      <c r="AC22" s="42">
        <v>0.48</v>
      </c>
      <c r="AD22" s="37">
        <f t="shared" si="18"/>
        <v>0.48085674805887269</v>
      </c>
      <c r="AE22" s="6">
        <f t="shared" si="19"/>
        <v>1</v>
      </c>
      <c r="AF22" s="42" t="s">
        <v>110</v>
      </c>
      <c r="AG22" s="34">
        <f t="shared" si="20"/>
        <v>14.84744585398867</v>
      </c>
      <c r="AH22" s="35" t="s">
        <v>179</v>
      </c>
      <c r="AI22" s="6">
        <f t="shared" si="21"/>
        <v>1</v>
      </c>
      <c r="AJ22" s="42" t="s">
        <v>111</v>
      </c>
      <c r="AK22" s="34">
        <f t="shared" si="22"/>
        <v>135.91507055489058</v>
      </c>
      <c r="AL22" s="35" t="s">
        <v>193</v>
      </c>
      <c r="AM22" s="6">
        <f t="shared" si="23"/>
        <v>1</v>
      </c>
      <c r="AN22" s="43"/>
      <c r="AO22" s="34">
        <f t="shared" si="24"/>
        <v>66.644829878525314</v>
      </c>
      <c r="AP22" s="35" t="s">
        <v>193</v>
      </c>
      <c r="AQ22" s="6">
        <f t="shared" si="25"/>
        <v>0</v>
      </c>
      <c r="AR22" s="53">
        <f t="shared" si="26"/>
        <v>13</v>
      </c>
    </row>
    <row r="23" spans="1:44" ht="12.75" x14ac:dyDescent="0.2">
      <c r="A23" s="40">
        <v>22</v>
      </c>
      <c r="B23" s="41">
        <v>43784.740504768517</v>
      </c>
      <c r="C23" s="42" t="s">
        <v>112</v>
      </c>
      <c r="D23" s="42" t="s">
        <v>113</v>
      </c>
      <c r="E23" s="5">
        <v>313336</v>
      </c>
      <c r="F23" s="5">
        <f t="shared" si="2"/>
        <v>3</v>
      </c>
      <c r="G23" s="5">
        <f t="shared" si="3"/>
        <v>1</v>
      </c>
      <c r="H23" s="5">
        <f t="shared" si="4"/>
        <v>3</v>
      </c>
      <c r="I23" s="5">
        <f t="shared" si="5"/>
        <v>3</v>
      </c>
      <c r="J23" s="5">
        <f t="shared" si="6"/>
        <v>3</v>
      </c>
      <c r="K23" s="5">
        <f t="shared" si="7"/>
        <v>6</v>
      </c>
      <c r="L23" s="6">
        <v>2</v>
      </c>
      <c r="M23" s="42" t="s">
        <v>15</v>
      </c>
      <c r="N23" s="6">
        <v>1</v>
      </c>
      <c r="O23" s="42" t="s">
        <v>22</v>
      </c>
      <c r="P23" s="6">
        <v>1</v>
      </c>
      <c r="Q23" s="42" t="s">
        <v>16</v>
      </c>
      <c r="R23" s="6">
        <f t="shared" si="8"/>
        <v>1</v>
      </c>
      <c r="S23" s="6">
        <f t="shared" si="9"/>
        <v>1</v>
      </c>
      <c r="T23" s="6">
        <f t="shared" si="10"/>
        <v>1</v>
      </c>
      <c r="U23" s="6">
        <f t="shared" si="11"/>
        <v>0</v>
      </c>
      <c r="V23" s="6">
        <f t="shared" si="12"/>
        <v>0</v>
      </c>
      <c r="W23" s="42" t="s">
        <v>17</v>
      </c>
      <c r="X23" s="6">
        <f t="shared" si="13"/>
        <v>0</v>
      </c>
      <c r="Y23" s="6">
        <f t="shared" si="14"/>
        <v>1</v>
      </c>
      <c r="Z23" s="6">
        <f t="shared" si="15"/>
        <v>0</v>
      </c>
      <c r="AA23" s="6">
        <f t="shared" si="16"/>
        <v>1</v>
      </c>
      <c r="AB23" s="6">
        <f t="shared" si="17"/>
        <v>1</v>
      </c>
      <c r="AC23" s="42">
        <v>0.54</v>
      </c>
      <c r="AD23" s="37">
        <f t="shared" si="18"/>
        <v>0.69055448911743211</v>
      </c>
      <c r="AE23" s="6">
        <f t="shared" si="19"/>
        <v>-1</v>
      </c>
      <c r="AF23" s="42" t="s">
        <v>114</v>
      </c>
      <c r="AG23" s="34">
        <f t="shared" si="20"/>
        <v>12.461291256634361</v>
      </c>
      <c r="AH23" s="35" t="s">
        <v>179</v>
      </c>
      <c r="AI23" s="6">
        <f t="shared" si="21"/>
        <v>1</v>
      </c>
      <c r="AJ23" s="42" t="s">
        <v>115</v>
      </c>
      <c r="AK23" s="34">
        <f t="shared" si="22"/>
        <v>157.56337291581363</v>
      </c>
      <c r="AL23" s="35" t="s">
        <v>193</v>
      </c>
      <c r="AM23" s="6">
        <f t="shared" si="23"/>
        <v>1</v>
      </c>
      <c r="AN23" s="43"/>
      <c r="AO23" s="34">
        <f t="shared" si="24"/>
        <v>96.647474545814902</v>
      </c>
      <c r="AP23" s="35" t="s">
        <v>193</v>
      </c>
      <c r="AQ23" s="6">
        <f t="shared" si="25"/>
        <v>0</v>
      </c>
      <c r="AR23" s="53">
        <f t="shared" si="26"/>
        <v>11</v>
      </c>
    </row>
    <row r="24" spans="1:44" ht="12.75" x14ac:dyDescent="0.2">
      <c r="A24" s="40">
        <v>23</v>
      </c>
      <c r="B24" s="41">
        <v>43784.740638564814</v>
      </c>
      <c r="C24" s="42" t="s">
        <v>116</v>
      </c>
      <c r="D24" s="42" t="s">
        <v>117</v>
      </c>
      <c r="E24" s="5">
        <v>314987</v>
      </c>
      <c r="F24" s="5">
        <f t="shared" si="2"/>
        <v>3</v>
      </c>
      <c r="G24" s="5">
        <f t="shared" si="3"/>
        <v>1</v>
      </c>
      <c r="H24" s="5">
        <f t="shared" si="4"/>
        <v>4</v>
      </c>
      <c r="I24" s="5">
        <f t="shared" si="5"/>
        <v>9</v>
      </c>
      <c r="J24" s="5">
        <f t="shared" si="6"/>
        <v>8</v>
      </c>
      <c r="K24" s="5">
        <f t="shared" si="7"/>
        <v>7</v>
      </c>
      <c r="L24" s="6">
        <v>2</v>
      </c>
      <c r="M24" s="42" t="s">
        <v>15</v>
      </c>
      <c r="N24" s="6">
        <v>1</v>
      </c>
      <c r="O24" s="42" t="s">
        <v>22</v>
      </c>
      <c r="P24" s="6">
        <v>1</v>
      </c>
      <c r="Q24" s="42" t="s">
        <v>16</v>
      </c>
      <c r="R24" s="6">
        <f t="shared" si="8"/>
        <v>1</v>
      </c>
      <c r="S24" s="6">
        <f t="shared" si="9"/>
        <v>1</v>
      </c>
      <c r="T24" s="6">
        <f t="shared" si="10"/>
        <v>1</v>
      </c>
      <c r="U24" s="6">
        <f t="shared" si="11"/>
        <v>0</v>
      </c>
      <c r="V24" s="6">
        <f t="shared" si="12"/>
        <v>0</v>
      </c>
      <c r="W24" s="42" t="s">
        <v>17</v>
      </c>
      <c r="X24" s="6">
        <f t="shared" si="13"/>
        <v>0</v>
      </c>
      <c r="Y24" s="6">
        <f t="shared" si="14"/>
        <v>1</v>
      </c>
      <c r="Z24" s="6">
        <f t="shared" si="15"/>
        <v>0</v>
      </c>
      <c r="AA24" s="6">
        <f t="shared" si="16"/>
        <v>1</v>
      </c>
      <c r="AB24" s="6">
        <f t="shared" si="17"/>
        <v>1</v>
      </c>
      <c r="AC24" s="42">
        <v>0.81</v>
      </c>
      <c r="AD24" s="37">
        <f t="shared" si="18"/>
        <v>0.80943228712092674</v>
      </c>
      <c r="AE24" s="6">
        <f t="shared" si="19"/>
        <v>1</v>
      </c>
      <c r="AF24" s="42" t="s">
        <v>118</v>
      </c>
      <c r="AG24" s="34">
        <f t="shared" si="20"/>
        <v>15.770261620716212</v>
      </c>
      <c r="AH24" s="35" t="s">
        <v>179</v>
      </c>
      <c r="AI24" s="6">
        <f t="shared" si="21"/>
        <v>-1</v>
      </c>
      <c r="AJ24" s="42" t="s">
        <v>119</v>
      </c>
      <c r="AK24" s="34">
        <f t="shared" si="22"/>
        <v>131.25049988078547</v>
      </c>
      <c r="AL24" s="35" t="s">
        <v>193</v>
      </c>
      <c r="AM24" s="6">
        <f t="shared" si="23"/>
        <v>1</v>
      </c>
      <c r="AN24" s="43"/>
      <c r="AO24" s="34">
        <f t="shared" si="24"/>
        <v>106.95508057160215</v>
      </c>
      <c r="AP24" s="35" t="s">
        <v>193</v>
      </c>
      <c r="AQ24" s="6">
        <f t="shared" si="25"/>
        <v>0</v>
      </c>
      <c r="AR24" s="53">
        <f t="shared" si="26"/>
        <v>11</v>
      </c>
    </row>
    <row r="25" spans="1:44" ht="12.75" x14ac:dyDescent="0.2">
      <c r="A25" s="40">
        <v>24</v>
      </c>
      <c r="B25" s="41">
        <v>43784.741582395829</v>
      </c>
      <c r="C25" s="42" t="s">
        <v>120</v>
      </c>
      <c r="D25" s="42" t="s">
        <v>121</v>
      </c>
      <c r="E25" s="5">
        <v>313896</v>
      </c>
      <c r="F25" s="5">
        <f t="shared" si="2"/>
        <v>3</v>
      </c>
      <c r="G25" s="5">
        <f t="shared" si="3"/>
        <v>1</v>
      </c>
      <c r="H25" s="5">
        <f t="shared" si="4"/>
        <v>3</v>
      </c>
      <c r="I25" s="5">
        <f t="shared" si="5"/>
        <v>8</v>
      </c>
      <c r="J25" s="5">
        <f t="shared" si="6"/>
        <v>9</v>
      </c>
      <c r="K25" s="5">
        <f t="shared" si="7"/>
        <v>6</v>
      </c>
      <c r="L25" s="6">
        <v>2</v>
      </c>
      <c r="M25" s="42" t="s">
        <v>15</v>
      </c>
      <c r="N25" s="6">
        <v>1</v>
      </c>
      <c r="O25" s="42" t="s">
        <v>22</v>
      </c>
      <c r="P25" s="6">
        <v>1</v>
      </c>
      <c r="Q25" s="42" t="s">
        <v>122</v>
      </c>
      <c r="R25" s="6">
        <f t="shared" si="8"/>
        <v>1</v>
      </c>
      <c r="S25" s="6">
        <f t="shared" si="9"/>
        <v>1</v>
      </c>
      <c r="T25" s="6">
        <f t="shared" si="10"/>
        <v>1</v>
      </c>
      <c r="U25" s="6">
        <f t="shared" si="11"/>
        <v>-1</v>
      </c>
      <c r="V25" s="6">
        <f t="shared" si="12"/>
        <v>0</v>
      </c>
      <c r="W25" s="42" t="s">
        <v>17</v>
      </c>
      <c r="X25" s="6">
        <f t="shared" si="13"/>
        <v>0</v>
      </c>
      <c r="Y25" s="6">
        <f t="shared" si="14"/>
        <v>1</v>
      </c>
      <c r="Z25" s="6">
        <f t="shared" si="15"/>
        <v>0</v>
      </c>
      <c r="AA25" s="6">
        <f t="shared" si="16"/>
        <v>1</v>
      </c>
      <c r="AB25" s="6">
        <f t="shared" si="17"/>
        <v>1</v>
      </c>
      <c r="AC25" s="42">
        <v>0.76900000000000002</v>
      </c>
      <c r="AD25" s="37">
        <f t="shared" si="18"/>
        <v>0.7693707968941963</v>
      </c>
      <c r="AE25" s="6">
        <f t="shared" si="19"/>
        <v>1</v>
      </c>
      <c r="AF25" s="44" t="s">
        <v>123</v>
      </c>
      <c r="AG25" s="34">
        <f t="shared" si="20"/>
        <v>15.649690151228825</v>
      </c>
      <c r="AH25" s="35" t="s">
        <v>179</v>
      </c>
      <c r="AI25" s="6">
        <f t="shared" si="21"/>
        <v>1</v>
      </c>
      <c r="AJ25" s="42" t="s">
        <v>124</v>
      </c>
      <c r="AK25" s="34">
        <f t="shared" si="22"/>
        <v>130.43971426011842</v>
      </c>
      <c r="AL25" s="35" t="s">
        <v>193</v>
      </c>
      <c r="AM25" s="6">
        <f t="shared" si="23"/>
        <v>1</v>
      </c>
      <c r="AN25" s="42" t="s">
        <v>125</v>
      </c>
      <c r="AO25" s="34">
        <f t="shared" si="24"/>
        <v>98.850257303573443</v>
      </c>
      <c r="AP25" s="35" t="s">
        <v>193</v>
      </c>
      <c r="AQ25" s="6">
        <f t="shared" si="25"/>
        <v>-1</v>
      </c>
      <c r="AR25" s="53">
        <f t="shared" si="26"/>
        <v>11</v>
      </c>
    </row>
    <row r="26" spans="1:44" ht="12.75" x14ac:dyDescent="0.2">
      <c r="A26" s="40">
        <v>25</v>
      </c>
      <c r="B26" s="41">
        <v>43784.741921979163</v>
      </c>
      <c r="C26" s="42" t="s">
        <v>126</v>
      </c>
      <c r="D26" s="42" t="s">
        <v>127</v>
      </c>
      <c r="E26" s="5">
        <v>308566</v>
      </c>
      <c r="F26" s="5">
        <f t="shared" si="2"/>
        <v>3</v>
      </c>
      <c r="G26" s="5">
        <f t="shared" si="3"/>
        <v>0</v>
      </c>
      <c r="H26" s="5">
        <f t="shared" si="4"/>
        <v>8</v>
      </c>
      <c r="I26" s="5">
        <f t="shared" si="5"/>
        <v>5</v>
      </c>
      <c r="J26" s="5">
        <f t="shared" si="6"/>
        <v>6</v>
      </c>
      <c r="K26" s="5">
        <f t="shared" si="7"/>
        <v>6</v>
      </c>
      <c r="L26" s="6">
        <v>2</v>
      </c>
      <c r="M26" s="42" t="s">
        <v>15</v>
      </c>
      <c r="N26" s="6">
        <v>1</v>
      </c>
      <c r="O26" s="42" t="s">
        <v>22</v>
      </c>
      <c r="P26" s="6">
        <v>1</v>
      </c>
      <c r="Q26" s="42" t="s">
        <v>40</v>
      </c>
      <c r="R26" s="6">
        <f t="shared" si="8"/>
        <v>1</v>
      </c>
      <c r="S26" s="6">
        <f t="shared" si="9"/>
        <v>1</v>
      </c>
      <c r="T26" s="6">
        <f t="shared" si="10"/>
        <v>0</v>
      </c>
      <c r="U26" s="6">
        <f t="shared" si="11"/>
        <v>0</v>
      </c>
      <c r="V26" s="6">
        <f t="shared" si="12"/>
        <v>0</v>
      </c>
      <c r="W26" s="42" t="s">
        <v>17</v>
      </c>
      <c r="X26" s="6">
        <f t="shared" si="13"/>
        <v>0</v>
      </c>
      <c r="Y26" s="6">
        <f t="shared" si="14"/>
        <v>1</v>
      </c>
      <c r="Z26" s="6">
        <f t="shared" si="15"/>
        <v>0</v>
      </c>
      <c r="AA26" s="6">
        <f t="shared" si="16"/>
        <v>1</v>
      </c>
      <c r="AB26" s="6">
        <f t="shared" si="17"/>
        <v>1</v>
      </c>
      <c r="AC26" s="42">
        <v>0.74099999999999999</v>
      </c>
      <c r="AD26" s="37">
        <f t="shared" si="18"/>
        <v>0.74112995510594115</v>
      </c>
      <c r="AE26" s="6">
        <f t="shared" si="19"/>
        <v>1</v>
      </c>
      <c r="AF26" s="42" t="s">
        <v>128</v>
      </c>
      <c r="AG26" s="34">
        <f t="shared" si="20"/>
        <v>14.180940403103705</v>
      </c>
      <c r="AH26" s="35" t="s">
        <v>179</v>
      </c>
      <c r="AI26" s="6">
        <f t="shared" si="21"/>
        <v>1</v>
      </c>
      <c r="AJ26" s="42" t="s">
        <v>129</v>
      </c>
      <c r="AK26" s="34">
        <f t="shared" si="22"/>
        <v>143.19849852388182</v>
      </c>
      <c r="AL26" s="35" t="s">
        <v>193</v>
      </c>
      <c r="AM26" s="6">
        <f t="shared" si="23"/>
        <v>1</v>
      </c>
      <c r="AN26" s="43"/>
      <c r="AO26" s="34">
        <f t="shared" si="24"/>
        <v>96.582947572443047</v>
      </c>
      <c r="AP26" s="35" t="s">
        <v>193</v>
      </c>
      <c r="AQ26" s="6">
        <f t="shared" si="25"/>
        <v>0</v>
      </c>
      <c r="AR26" s="53">
        <f t="shared" si="26"/>
        <v>12</v>
      </c>
    </row>
    <row r="27" spans="1:44" ht="12.75" x14ac:dyDescent="0.2">
      <c r="A27" s="40">
        <v>26</v>
      </c>
      <c r="B27" s="41">
        <v>43784.742021840277</v>
      </c>
      <c r="C27" s="42" t="s">
        <v>130</v>
      </c>
      <c r="D27" s="42" t="s">
        <v>131</v>
      </c>
      <c r="E27" s="5">
        <v>313277</v>
      </c>
      <c r="F27" s="5">
        <f t="shared" si="2"/>
        <v>3</v>
      </c>
      <c r="G27" s="5">
        <f t="shared" si="3"/>
        <v>1</v>
      </c>
      <c r="H27" s="5">
        <f t="shared" si="4"/>
        <v>3</v>
      </c>
      <c r="I27" s="5">
        <f t="shared" si="5"/>
        <v>2</v>
      </c>
      <c r="J27" s="5">
        <f t="shared" si="6"/>
        <v>7</v>
      </c>
      <c r="K27" s="5">
        <f t="shared" si="7"/>
        <v>7</v>
      </c>
      <c r="L27" s="6">
        <v>2</v>
      </c>
      <c r="M27" s="42" t="s">
        <v>15</v>
      </c>
      <c r="N27" s="6">
        <v>1</v>
      </c>
      <c r="O27" s="42" t="s">
        <v>22</v>
      </c>
      <c r="P27" s="6">
        <v>1</v>
      </c>
      <c r="Q27" s="42" t="s">
        <v>40</v>
      </c>
      <c r="R27" s="6">
        <f t="shared" si="8"/>
        <v>1</v>
      </c>
      <c r="S27" s="6">
        <f t="shared" si="9"/>
        <v>1</v>
      </c>
      <c r="T27" s="6">
        <f t="shared" si="10"/>
        <v>0</v>
      </c>
      <c r="U27" s="6">
        <f t="shared" si="11"/>
        <v>0</v>
      </c>
      <c r="V27" s="6">
        <f t="shared" si="12"/>
        <v>0</v>
      </c>
      <c r="W27" s="42" t="s">
        <v>17</v>
      </c>
      <c r="X27" s="6">
        <f t="shared" si="13"/>
        <v>0</v>
      </c>
      <c r="Y27" s="6">
        <f t="shared" si="14"/>
        <v>1</v>
      </c>
      <c r="Z27" s="6">
        <f t="shared" si="15"/>
        <v>0</v>
      </c>
      <c r="AA27" s="6">
        <f t="shared" si="16"/>
        <v>1</v>
      </c>
      <c r="AB27" s="6">
        <f t="shared" si="17"/>
        <v>1</v>
      </c>
      <c r="AC27" s="42">
        <v>0.79900000000000004</v>
      </c>
      <c r="AD27" s="37">
        <f t="shared" si="18"/>
        <v>0.7995516983626475</v>
      </c>
      <c r="AE27" s="6">
        <f t="shared" si="19"/>
        <v>1</v>
      </c>
      <c r="AF27" s="42" t="s">
        <v>132</v>
      </c>
      <c r="AG27" s="34">
        <f t="shared" si="20"/>
        <v>13.688232304362629</v>
      </c>
      <c r="AH27" s="35" t="s">
        <v>179</v>
      </c>
      <c r="AI27" s="6">
        <f t="shared" si="21"/>
        <v>1</v>
      </c>
      <c r="AJ27" s="42" t="s">
        <v>133</v>
      </c>
      <c r="AK27" s="34">
        <f t="shared" si="22"/>
        <v>142.9479322802616</v>
      </c>
      <c r="AL27" s="35" t="s">
        <v>193</v>
      </c>
      <c r="AM27" s="6">
        <f t="shared" si="23"/>
        <v>1</v>
      </c>
      <c r="AN27" s="43"/>
      <c r="AO27" s="34">
        <f t="shared" si="24"/>
        <v>91.562077145403194</v>
      </c>
      <c r="AP27" s="35" t="s">
        <v>193</v>
      </c>
      <c r="AQ27" s="6">
        <f t="shared" si="25"/>
        <v>0</v>
      </c>
      <c r="AR27" s="53">
        <f t="shared" si="26"/>
        <v>12</v>
      </c>
    </row>
    <row r="28" spans="1:44" ht="12.75" x14ac:dyDescent="0.2">
      <c r="A28" s="40">
        <v>27</v>
      </c>
      <c r="B28" s="41">
        <v>43784.742347094907</v>
      </c>
      <c r="C28" s="42" t="s">
        <v>134</v>
      </c>
      <c r="D28" s="42" t="s">
        <v>135</v>
      </c>
      <c r="E28" s="5">
        <v>313884</v>
      </c>
      <c r="F28" s="5">
        <f t="shared" si="2"/>
        <v>3</v>
      </c>
      <c r="G28" s="5">
        <f t="shared" si="3"/>
        <v>1</v>
      </c>
      <c r="H28" s="5">
        <f t="shared" si="4"/>
        <v>3</v>
      </c>
      <c r="I28" s="5">
        <f t="shared" si="5"/>
        <v>8</v>
      </c>
      <c r="J28" s="5">
        <f t="shared" si="6"/>
        <v>8</v>
      </c>
      <c r="K28" s="5">
        <f t="shared" si="7"/>
        <v>4</v>
      </c>
      <c r="L28" s="6">
        <v>2</v>
      </c>
      <c r="M28" s="42" t="s">
        <v>15</v>
      </c>
      <c r="N28" s="6">
        <v>1</v>
      </c>
      <c r="O28" s="42" t="s">
        <v>22</v>
      </c>
      <c r="P28" s="6">
        <v>1</v>
      </c>
      <c r="Q28" s="42" t="s">
        <v>16</v>
      </c>
      <c r="R28" s="6">
        <f t="shared" si="8"/>
        <v>1</v>
      </c>
      <c r="S28" s="6">
        <f t="shared" si="9"/>
        <v>1</v>
      </c>
      <c r="T28" s="6">
        <f t="shared" si="10"/>
        <v>1</v>
      </c>
      <c r="U28" s="6">
        <f t="shared" si="11"/>
        <v>0</v>
      </c>
      <c r="V28" s="6">
        <f t="shared" si="12"/>
        <v>0</v>
      </c>
      <c r="W28" s="42" t="s">
        <v>17</v>
      </c>
      <c r="X28" s="6">
        <f t="shared" si="13"/>
        <v>0</v>
      </c>
      <c r="Y28" s="6">
        <f t="shared" si="14"/>
        <v>1</v>
      </c>
      <c r="Z28" s="6">
        <f t="shared" si="15"/>
        <v>0</v>
      </c>
      <c r="AA28" s="6">
        <f t="shared" si="16"/>
        <v>1</v>
      </c>
      <c r="AB28" s="6">
        <f t="shared" si="17"/>
        <v>1</v>
      </c>
      <c r="AC28" s="42">
        <v>0.67</v>
      </c>
      <c r="AD28" s="37">
        <f t="shared" si="18"/>
        <v>0.66659129527605732</v>
      </c>
      <c r="AE28" s="6">
        <f t="shared" si="19"/>
        <v>1</v>
      </c>
      <c r="AF28" s="42" t="s">
        <v>136</v>
      </c>
      <c r="AG28" s="34">
        <f t="shared" si="20"/>
        <v>15.189917270927076</v>
      </c>
      <c r="AH28" s="35" t="s">
        <v>179</v>
      </c>
      <c r="AI28" s="6">
        <f t="shared" si="21"/>
        <v>1</v>
      </c>
      <c r="AJ28" s="42" t="s">
        <v>137</v>
      </c>
      <c r="AK28" s="34">
        <f t="shared" si="22"/>
        <v>135.03379643686677</v>
      </c>
      <c r="AL28" s="35" t="s">
        <v>193</v>
      </c>
      <c r="AM28" s="6">
        <f t="shared" si="23"/>
        <v>1</v>
      </c>
      <c r="AN28" s="43"/>
      <c r="AO28" s="34">
        <f t="shared" si="24"/>
        <v>90.718965171108636</v>
      </c>
      <c r="AP28" s="35" t="s">
        <v>193</v>
      </c>
      <c r="AQ28" s="6">
        <f t="shared" si="25"/>
        <v>0</v>
      </c>
      <c r="AR28" s="53">
        <f t="shared" si="26"/>
        <v>13</v>
      </c>
    </row>
    <row r="29" spans="1:44" ht="13.5" thickBot="1" x14ac:dyDescent="0.25">
      <c r="A29" s="45">
        <v>28</v>
      </c>
      <c r="B29" s="46">
        <v>43784.743539629635</v>
      </c>
      <c r="C29" s="47" t="s">
        <v>138</v>
      </c>
      <c r="D29" s="47" t="s">
        <v>139</v>
      </c>
      <c r="E29" s="48">
        <v>309623</v>
      </c>
      <c r="F29" s="48">
        <f t="shared" si="2"/>
        <v>3</v>
      </c>
      <c r="G29" s="48">
        <f t="shared" si="3"/>
        <v>0</v>
      </c>
      <c r="H29" s="48">
        <f t="shared" si="4"/>
        <v>9</v>
      </c>
      <c r="I29" s="48">
        <f t="shared" si="5"/>
        <v>6</v>
      </c>
      <c r="J29" s="48">
        <f t="shared" si="6"/>
        <v>2</v>
      </c>
      <c r="K29" s="48">
        <f t="shared" si="7"/>
        <v>3</v>
      </c>
      <c r="L29" s="28">
        <v>2</v>
      </c>
      <c r="M29" s="47" t="s">
        <v>15</v>
      </c>
      <c r="N29" s="28">
        <v>1</v>
      </c>
      <c r="O29" s="47" t="s">
        <v>22</v>
      </c>
      <c r="P29" s="28">
        <v>1</v>
      </c>
      <c r="Q29" s="47" t="s">
        <v>45</v>
      </c>
      <c r="R29" s="28">
        <f t="shared" si="8"/>
        <v>1</v>
      </c>
      <c r="S29" s="28">
        <f t="shared" si="9"/>
        <v>0</v>
      </c>
      <c r="T29" s="28">
        <f t="shared" si="10"/>
        <v>0</v>
      </c>
      <c r="U29" s="28">
        <f t="shared" si="11"/>
        <v>0</v>
      </c>
      <c r="V29" s="28">
        <f t="shared" si="12"/>
        <v>-1</v>
      </c>
      <c r="W29" s="47" t="s">
        <v>46</v>
      </c>
      <c r="X29" s="28">
        <f t="shared" si="13"/>
        <v>-1</v>
      </c>
      <c r="Y29" s="28">
        <f t="shared" si="14"/>
        <v>1</v>
      </c>
      <c r="Z29" s="28">
        <f t="shared" si="15"/>
        <v>0</v>
      </c>
      <c r="AA29" s="28">
        <f t="shared" si="16"/>
        <v>0</v>
      </c>
      <c r="AB29" s="28">
        <f t="shared" si="17"/>
        <v>0</v>
      </c>
      <c r="AC29" s="56" t="s">
        <v>140</v>
      </c>
      <c r="AD29" s="49">
        <f t="shared" si="18"/>
        <v>0.54188060496923474</v>
      </c>
      <c r="AE29" s="28">
        <v>1</v>
      </c>
      <c r="AF29" s="55" t="s">
        <v>141</v>
      </c>
      <c r="AG29" s="50">
        <f t="shared" si="20"/>
        <v>12.402317287908094</v>
      </c>
      <c r="AH29" s="51" t="s">
        <v>179</v>
      </c>
      <c r="AI29" s="28">
        <v>1</v>
      </c>
      <c r="AJ29" s="55" t="s">
        <v>207</v>
      </c>
      <c r="AK29" s="50">
        <f t="shared" si="22"/>
        <v>160.93716558772581</v>
      </c>
      <c r="AL29" s="51" t="s">
        <v>193</v>
      </c>
      <c r="AM29" s="28">
        <v>1</v>
      </c>
      <c r="AN29" s="52"/>
      <c r="AO29" s="50">
        <f t="shared" si="24"/>
        <v>90.344691844734228</v>
      </c>
      <c r="AP29" s="51" t="s">
        <v>193</v>
      </c>
      <c r="AQ29" s="28">
        <f t="shared" si="25"/>
        <v>0</v>
      </c>
      <c r="AR29" s="54">
        <f t="shared" si="26"/>
        <v>7</v>
      </c>
    </row>
    <row r="30" spans="1:44" ht="15.75" customHeight="1" x14ac:dyDescent="0.2">
      <c r="AD30" s="36"/>
      <c r="AE30" s="36"/>
    </row>
    <row r="31" spans="1:44" ht="15.75" customHeight="1" x14ac:dyDescent="0.2">
      <c r="A31" s="31" t="s">
        <v>202</v>
      </c>
      <c r="AF31" s="1"/>
      <c r="AG31" s="1"/>
    </row>
    <row r="32" spans="1:44" ht="15.75" customHeight="1" x14ac:dyDescent="0.2">
      <c r="A32" s="32" t="s">
        <v>203</v>
      </c>
      <c r="B32" s="33"/>
      <c r="C32" s="33"/>
    </row>
    <row r="33" spans="1:3" ht="15.75" customHeight="1" x14ac:dyDescent="0.2">
      <c r="A33" s="57" t="s">
        <v>201</v>
      </c>
      <c r="B33" s="58"/>
      <c r="C33" s="58"/>
    </row>
  </sheetData>
  <conditionalFormatting sqref="L2">
    <cfRule type="cellIs" dxfId="29" priority="32" operator="lessThan">
      <formula>0</formula>
    </cfRule>
  </conditionalFormatting>
  <conditionalFormatting sqref="L2">
    <cfRule type="containsText" dxfId="28" priority="33" operator="containsText" text=",">
      <formula>NOT(ISERROR(SEARCH(",",L2)))</formula>
    </cfRule>
  </conditionalFormatting>
  <conditionalFormatting sqref="L2">
    <cfRule type="cellIs" dxfId="27" priority="31" operator="equal">
      <formula>0</formula>
    </cfRule>
  </conditionalFormatting>
  <conditionalFormatting sqref="L3:L29">
    <cfRule type="cellIs" dxfId="26" priority="29" operator="lessThan">
      <formula>0</formula>
    </cfRule>
  </conditionalFormatting>
  <conditionalFormatting sqref="L3:L29">
    <cfRule type="containsText" dxfId="25" priority="30" operator="containsText" text=",">
      <formula>NOT(ISERROR(SEARCH(",",L3)))</formula>
    </cfRule>
  </conditionalFormatting>
  <conditionalFormatting sqref="L3:L29">
    <cfRule type="cellIs" dxfId="24" priority="28" operator="equal">
      <formula>0</formula>
    </cfRule>
  </conditionalFormatting>
  <conditionalFormatting sqref="N2:N29">
    <cfRule type="cellIs" dxfId="23" priority="26" operator="lessThan">
      <formula>0</formula>
    </cfRule>
  </conditionalFormatting>
  <conditionalFormatting sqref="N2:N29">
    <cfRule type="containsText" dxfId="22" priority="27" operator="containsText" text=",">
      <formula>NOT(ISERROR(SEARCH(",",N2)))</formula>
    </cfRule>
  </conditionalFormatting>
  <conditionalFormatting sqref="N2:N29">
    <cfRule type="cellIs" dxfId="21" priority="25" operator="equal">
      <formula>0</formula>
    </cfRule>
  </conditionalFormatting>
  <conditionalFormatting sqref="P2:P29">
    <cfRule type="cellIs" dxfId="20" priority="20" operator="lessThan">
      <formula>0</formula>
    </cfRule>
  </conditionalFormatting>
  <conditionalFormatting sqref="P2:P29">
    <cfRule type="containsText" dxfId="19" priority="21" operator="containsText" text=",">
      <formula>NOT(ISERROR(SEARCH(",",P2)))</formula>
    </cfRule>
  </conditionalFormatting>
  <conditionalFormatting sqref="P2:P29">
    <cfRule type="cellIs" dxfId="18" priority="19" operator="equal">
      <formula>0</formula>
    </cfRule>
  </conditionalFormatting>
  <conditionalFormatting sqref="X2:AB29">
    <cfRule type="cellIs" dxfId="17" priority="13" operator="equal">
      <formula>0</formula>
    </cfRule>
  </conditionalFormatting>
  <conditionalFormatting sqref="R2:V29">
    <cfRule type="cellIs" dxfId="16" priority="17" operator="lessThan">
      <formula>0</formula>
    </cfRule>
  </conditionalFormatting>
  <conditionalFormatting sqref="R2:V29">
    <cfRule type="containsText" dxfId="15" priority="18" operator="containsText" text=",">
      <formula>NOT(ISERROR(SEARCH(",",R2)))</formula>
    </cfRule>
  </conditionalFormatting>
  <conditionalFormatting sqref="R2:V29">
    <cfRule type="cellIs" dxfId="14" priority="16" operator="equal">
      <formula>0</formula>
    </cfRule>
  </conditionalFormatting>
  <conditionalFormatting sqref="X2:AB29">
    <cfRule type="cellIs" dxfId="13" priority="14" operator="lessThan">
      <formula>0</formula>
    </cfRule>
  </conditionalFormatting>
  <conditionalFormatting sqref="X2:AB29">
    <cfRule type="containsText" dxfId="12" priority="15" operator="containsText" text=",">
      <formula>NOT(ISERROR(SEARCH(",",X2)))</formula>
    </cfRule>
  </conditionalFormatting>
  <conditionalFormatting sqref="AE2:AE29">
    <cfRule type="cellIs" dxfId="11" priority="11" operator="lessThan">
      <formula>0</formula>
    </cfRule>
  </conditionalFormatting>
  <conditionalFormatting sqref="AE2:AE29">
    <cfRule type="containsText" dxfId="10" priority="12" operator="containsText" text=",">
      <formula>NOT(ISERROR(SEARCH(",",AE2)))</formula>
    </cfRule>
  </conditionalFormatting>
  <conditionalFormatting sqref="AE2:AE29">
    <cfRule type="cellIs" dxfId="9" priority="10" operator="equal">
      <formula>0</formula>
    </cfRule>
  </conditionalFormatting>
  <conditionalFormatting sqref="AI2:AI29">
    <cfRule type="cellIs" dxfId="8" priority="8" operator="lessThan">
      <formula>0</formula>
    </cfRule>
  </conditionalFormatting>
  <conditionalFormatting sqref="AI2:AI29">
    <cfRule type="containsText" dxfId="7" priority="9" operator="containsText" text=",">
      <formula>NOT(ISERROR(SEARCH(",",AI2)))</formula>
    </cfRule>
  </conditionalFormatting>
  <conditionalFormatting sqref="AI2:AI29">
    <cfRule type="cellIs" dxfId="6" priority="7" operator="equal">
      <formula>0</formula>
    </cfRule>
  </conditionalFormatting>
  <conditionalFormatting sqref="AM2:AM29">
    <cfRule type="cellIs" dxfId="5" priority="5" operator="lessThan">
      <formula>0</formula>
    </cfRule>
  </conditionalFormatting>
  <conditionalFormatting sqref="AM2:AM29">
    <cfRule type="containsText" dxfId="4" priority="6" operator="containsText" text=",">
      <formula>NOT(ISERROR(SEARCH(",",AM2)))</formula>
    </cfRule>
  </conditionalFormatting>
  <conditionalFormatting sqref="AM2:AM29">
    <cfRule type="cellIs" dxfId="3" priority="4" operator="equal">
      <formula>0</formula>
    </cfRule>
  </conditionalFormatting>
  <conditionalFormatting sqref="AQ2:AQ29">
    <cfRule type="cellIs" dxfId="2" priority="2" operator="lessThan">
      <formula>0</formula>
    </cfRule>
  </conditionalFormatting>
  <conditionalFormatting sqref="AQ2:AQ29">
    <cfRule type="containsText" dxfId="1" priority="3" operator="containsText" text=",">
      <formula>NOT(ISERROR(SEARCH(",",AQ2)))</formula>
    </cfRule>
  </conditionalFormatting>
  <conditionalFormatting sqref="AQ2:AQ29">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0"/>
  <sheetViews>
    <sheetView topLeftCell="A28" zoomScale="128" workbookViewId="0">
      <selection activeCell="I50" sqref="I50"/>
    </sheetView>
  </sheetViews>
  <sheetFormatPr defaultRowHeight="12.75" x14ac:dyDescent="0.2"/>
  <cols>
    <col min="7" max="7" width="12.42578125" bestFit="1" customWidth="1"/>
  </cols>
  <sheetData>
    <row r="1" spans="1:19" x14ac:dyDescent="0.2">
      <c r="A1" s="12" t="s">
        <v>175</v>
      </c>
    </row>
    <row r="2" spans="1:19" x14ac:dyDescent="0.2">
      <c r="A2" s="12"/>
    </row>
    <row r="3" spans="1:19" x14ac:dyDescent="0.2">
      <c r="A3" s="2" t="s">
        <v>3</v>
      </c>
      <c r="B3">
        <v>1</v>
      </c>
      <c r="C3">
        <v>2</v>
      </c>
      <c r="D3">
        <v>3</v>
      </c>
      <c r="E3">
        <v>4</v>
      </c>
      <c r="F3">
        <v>5</v>
      </c>
      <c r="G3">
        <v>6</v>
      </c>
    </row>
    <row r="4" spans="1:19" x14ac:dyDescent="0.2">
      <c r="A4" s="12"/>
    </row>
    <row r="5" spans="1:19" ht="15" x14ac:dyDescent="0.2">
      <c r="A5" s="7" t="s">
        <v>4</v>
      </c>
      <c r="O5" s="8" t="s">
        <v>150</v>
      </c>
    </row>
    <row r="6" spans="1:19" ht="15" x14ac:dyDescent="0.2">
      <c r="A6" s="9" t="s">
        <v>151</v>
      </c>
    </row>
    <row r="7" spans="1:19" ht="15" x14ac:dyDescent="0.2">
      <c r="A7" s="9" t="s">
        <v>152</v>
      </c>
    </row>
    <row r="8" spans="1:19" ht="15" x14ac:dyDescent="0.2">
      <c r="A8" s="13" t="s">
        <v>153</v>
      </c>
      <c r="B8" s="14"/>
      <c r="C8" s="14"/>
      <c r="D8" s="14"/>
      <c r="E8" s="14"/>
      <c r="F8" s="14"/>
      <c r="G8" s="14"/>
      <c r="H8" s="14"/>
      <c r="I8" s="14"/>
      <c r="J8" s="14"/>
    </row>
    <row r="9" spans="1:19" ht="15" x14ac:dyDescent="0.2">
      <c r="A9" s="9" t="s">
        <v>154</v>
      </c>
    </row>
    <row r="10" spans="1:19" ht="15" x14ac:dyDescent="0.2">
      <c r="A10" s="9" t="s">
        <v>155</v>
      </c>
    </row>
    <row r="11" spans="1:19" ht="14.25" x14ac:dyDescent="0.2">
      <c r="A11" s="9"/>
    </row>
    <row r="12" spans="1:19" ht="15" x14ac:dyDescent="0.2">
      <c r="A12" s="7" t="s">
        <v>176</v>
      </c>
    </row>
    <row r="13" spans="1:19" ht="15" x14ac:dyDescent="0.2">
      <c r="A13" s="7" t="s">
        <v>177</v>
      </c>
      <c r="O13" s="8" t="s">
        <v>150</v>
      </c>
      <c r="S13" s="8"/>
    </row>
    <row r="14" spans="1:19" ht="15" x14ac:dyDescent="0.2">
      <c r="A14" s="9" t="s">
        <v>156</v>
      </c>
    </row>
    <row r="15" spans="1:19" ht="15" x14ac:dyDescent="0.2">
      <c r="A15" s="9" t="s">
        <v>157</v>
      </c>
    </row>
    <row r="16" spans="1:19" ht="15" x14ac:dyDescent="0.2">
      <c r="A16" s="13" t="s">
        <v>158</v>
      </c>
      <c r="B16" s="14"/>
      <c r="C16" s="14"/>
      <c r="D16" s="14"/>
      <c r="E16" s="14"/>
      <c r="F16" s="14"/>
      <c r="G16" s="14"/>
      <c r="H16" s="14"/>
      <c r="I16" s="14"/>
    </row>
    <row r="17" spans="1:17" ht="15" x14ac:dyDescent="0.2">
      <c r="A17" s="9" t="s">
        <v>159</v>
      </c>
    </row>
    <row r="18" spans="1:17" ht="15" x14ac:dyDescent="0.2">
      <c r="A18" s="9" t="s">
        <v>160</v>
      </c>
    </row>
    <row r="19" spans="1:17" ht="14.25" x14ac:dyDescent="0.2">
      <c r="A19" s="9"/>
    </row>
    <row r="20" spans="1:17" ht="15" x14ac:dyDescent="0.2">
      <c r="A20" s="7" t="s">
        <v>6</v>
      </c>
      <c r="O20" s="8" t="s">
        <v>161</v>
      </c>
    </row>
    <row r="21" spans="1:17" ht="15" x14ac:dyDescent="0.2">
      <c r="A21" s="13" t="s">
        <v>162</v>
      </c>
      <c r="B21" s="14"/>
      <c r="C21" s="14"/>
      <c r="D21" s="14"/>
      <c r="E21" s="14"/>
      <c r="F21" s="14"/>
      <c r="G21" s="14"/>
      <c r="H21" s="14"/>
      <c r="I21" s="14"/>
    </row>
    <row r="22" spans="1:17" ht="15" x14ac:dyDescent="0.2">
      <c r="A22" s="13" t="s">
        <v>163</v>
      </c>
      <c r="B22" s="14"/>
      <c r="C22" s="14"/>
      <c r="D22" s="14"/>
      <c r="E22" s="14"/>
      <c r="F22" s="14"/>
      <c r="G22" s="14"/>
      <c r="H22" s="14"/>
      <c r="I22" s="14"/>
    </row>
    <row r="23" spans="1:17" ht="15" x14ac:dyDescent="0.2">
      <c r="A23" s="13" t="s">
        <v>164</v>
      </c>
      <c r="B23" s="14"/>
      <c r="C23" s="14"/>
      <c r="D23" s="14"/>
      <c r="E23" s="14"/>
      <c r="F23" s="14"/>
      <c r="G23" s="14"/>
      <c r="H23" s="14"/>
      <c r="I23" s="14"/>
    </row>
    <row r="24" spans="1:17" ht="15" x14ac:dyDescent="0.2">
      <c r="A24" s="9" t="s">
        <v>165</v>
      </c>
    </row>
    <row r="25" spans="1:17" ht="15" x14ac:dyDescent="0.2">
      <c r="A25" s="9" t="s">
        <v>166</v>
      </c>
    </row>
    <row r="26" spans="1:17" ht="14.25" x14ac:dyDescent="0.2">
      <c r="A26" s="9"/>
    </row>
    <row r="27" spans="1:17" ht="15" x14ac:dyDescent="0.2">
      <c r="A27" s="7" t="s">
        <v>7</v>
      </c>
      <c r="O27" s="8" t="s">
        <v>161</v>
      </c>
    </row>
    <row r="28" spans="1:17" ht="15" x14ac:dyDescent="0.2">
      <c r="A28" s="9" t="s">
        <v>167</v>
      </c>
    </row>
    <row r="29" spans="1:17" ht="15" x14ac:dyDescent="0.2">
      <c r="A29" s="13" t="s">
        <v>168</v>
      </c>
      <c r="B29" s="14"/>
      <c r="C29" s="14"/>
      <c r="D29" s="14"/>
      <c r="E29" s="14"/>
      <c r="F29" s="14"/>
      <c r="G29" s="14"/>
      <c r="H29" s="14"/>
      <c r="I29" s="14"/>
      <c r="J29" s="14"/>
      <c r="K29" s="14"/>
      <c r="L29" s="14"/>
      <c r="M29" s="14"/>
      <c r="N29" s="14"/>
      <c r="O29" s="14"/>
      <c r="P29" s="14"/>
      <c r="Q29" s="14"/>
    </row>
    <row r="30" spans="1:17" ht="15" x14ac:dyDescent="0.2">
      <c r="A30" s="9" t="s">
        <v>169</v>
      </c>
    </row>
    <row r="31" spans="1:17" ht="15" x14ac:dyDescent="0.2">
      <c r="A31" s="13" t="s">
        <v>170</v>
      </c>
      <c r="B31" s="14"/>
      <c r="C31" s="14"/>
      <c r="D31" s="14"/>
      <c r="E31" s="14"/>
      <c r="F31" s="14"/>
      <c r="G31" s="14"/>
      <c r="H31" s="14"/>
      <c r="I31" s="14"/>
      <c r="J31" s="14"/>
      <c r="K31" s="14"/>
      <c r="L31" s="14"/>
      <c r="M31" s="14"/>
      <c r="N31" s="14"/>
      <c r="O31" s="14"/>
      <c r="P31" s="14"/>
      <c r="Q31" s="14"/>
    </row>
    <row r="32" spans="1:17" ht="15" x14ac:dyDescent="0.2">
      <c r="A32" s="13" t="s">
        <v>171</v>
      </c>
      <c r="B32" s="14"/>
      <c r="C32" s="14"/>
      <c r="D32" s="14"/>
      <c r="E32" s="14"/>
      <c r="F32" s="14"/>
      <c r="G32" s="14"/>
      <c r="H32" s="14"/>
      <c r="I32" s="14"/>
      <c r="J32" s="14"/>
      <c r="K32" s="14"/>
      <c r="L32" s="14"/>
      <c r="M32" s="14"/>
      <c r="N32" s="14"/>
      <c r="O32" s="14"/>
      <c r="P32" s="14"/>
      <c r="Q32" s="14"/>
    </row>
    <row r="33" spans="1:17" ht="14.25" x14ac:dyDescent="0.2">
      <c r="A33" s="9"/>
    </row>
    <row r="34" spans="1:17" ht="15" x14ac:dyDescent="0.2">
      <c r="A34" s="7" t="s">
        <v>8</v>
      </c>
    </row>
    <row r="35" spans="1:17" ht="13.5" thickBot="1" x14ac:dyDescent="0.25">
      <c r="A35" s="10" t="s">
        <v>172</v>
      </c>
    </row>
    <row r="36" spans="1:17" ht="13.5" thickBot="1" x14ac:dyDescent="0.25">
      <c r="A36" s="15" t="s">
        <v>178</v>
      </c>
      <c r="B36">
        <f>5+E</f>
        <v>10</v>
      </c>
      <c r="C36" s="2" t="s">
        <v>179</v>
      </c>
      <c r="D36" s="2" t="s">
        <v>180</v>
      </c>
      <c r="E36">
        <f>0.5+F/20</f>
        <v>0.8</v>
      </c>
      <c r="G36" s="16" t="s">
        <v>181</v>
      </c>
      <c r="H36" s="17"/>
      <c r="I36" s="17"/>
      <c r="J36" s="17"/>
      <c r="K36" s="18">
        <f>E36/(1+10^(-B36/10))</f>
        <v>0.72727272727272729</v>
      </c>
    </row>
    <row r="37" spans="1:17" ht="15.75" x14ac:dyDescent="0.2">
      <c r="A37" s="11" t="s">
        <v>173</v>
      </c>
    </row>
    <row r="38" spans="1:17" ht="30.75" customHeight="1" x14ac:dyDescent="0.2">
      <c r="A38" s="23" t="s">
        <v>174</v>
      </c>
      <c r="B38" s="24"/>
      <c r="C38" s="24"/>
      <c r="D38" s="24"/>
      <c r="E38" s="24"/>
      <c r="F38" s="24"/>
      <c r="G38" s="24"/>
      <c r="H38" s="24"/>
      <c r="I38" s="24"/>
      <c r="J38" s="24"/>
      <c r="K38" s="24"/>
      <c r="L38" s="24"/>
      <c r="M38" s="24"/>
      <c r="N38" s="24"/>
      <c r="O38" s="24"/>
      <c r="P38" s="24"/>
      <c r="Q38" s="24"/>
    </row>
    <row r="39" spans="1:17" ht="13.5" thickBot="1" x14ac:dyDescent="0.25">
      <c r="A39" s="10" t="s">
        <v>172</v>
      </c>
      <c r="E39" s="2" t="s">
        <v>182</v>
      </c>
      <c r="G39">
        <f>0.16*(150+E*10+F)/(3+E)</f>
        <v>4.12</v>
      </c>
      <c r="H39" s="2" t="s">
        <v>183</v>
      </c>
      <c r="I39" s="2" t="s">
        <v>185</v>
      </c>
      <c r="K39">
        <f>0.16*(150+E*10+F)/G40</f>
        <v>0.35056370984896829</v>
      </c>
      <c r="L39" s="2" t="s">
        <v>186</v>
      </c>
    </row>
    <row r="40" spans="1:17" ht="13.5" thickBot="1" x14ac:dyDescent="0.25">
      <c r="A40" s="10"/>
      <c r="E40" s="2" t="s">
        <v>184</v>
      </c>
      <c r="G40">
        <f>G39+(0.5+F/50)*(100+D*10+E)</f>
        <v>94.02000000000001</v>
      </c>
      <c r="H40" s="2" t="s">
        <v>183</v>
      </c>
      <c r="I40" s="16" t="s">
        <v>187</v>
      </c>
      <c r="J40" s="17"/>
      <c r="K40" s="17"/>
      <c r="L40" s="19">
        <f>10*LOG10((3+E)/K39)</f>
        <v>13.583230308190991</v>
      </c>
      <c r="M40" s="18" t="s">
        <v>179</v>
      </c>
    </row>
    <row r="41" spans="1:17" x14ac:dyDescent="0.2">
      <c r="A41" s="10"/>
    </row>
    <row r="42" spans="1:17" ht="30.75" customHeight="1" x14ac:dyDescent="0.2">
      <c r="A42" s="23" t="s">
        <v>10</v>
      </c>
      <c r="B42" s="24"/>
      <c r="C42" s="24"/>
      <c r="D42" s="24"/>
      <c r="E42" s="24"/>
      <c r="F42" s="24"/>
      <c r="G42" s="24"/>
      <c r="H42" s="24"/>
      <c r="I42" s="24"/>
      <c r="J42" s="24"/>
      <c r="K42" s="24"/>
      <c r="L42" s="24"/>
      <c r="M42" s="24"/>
      <c r="N42" s="24"/>
      <c r="O42" s="24"/>
      <c r="P42" s="24"/>
    </row>
    <row r="43" spans="1:17" ht="13.5" thickBot="1" x14ac:dyDescent="0.25">
      <c r="A43" s="10" t="s">
        <v>172</v>
      </c>
      <c r="E43" s="2" t="s">
        <v>188</v>
      </c>
      <c r="G43">
        <f>(700+F*10)*(3+E/5)/1000</f>
        <v>3.04</v>
      </c>
      <c r="H43" s="2" t="s">
        <v>189</v>
      </c>
      <c r="I43" s="2" t="s">
        <v>190</v>
      </c>
      <c r="J43">
        <f>(50+D)/1000</f>
        <v>5.3999999999999999E-2</v>
      </c>
      <c r="K43" s="2" t="s">
        <v>191</v>
      </c>
    </row>
    <row r="44" spans="1:17" ht="13.5" thickBot="1" x14ac:dyDescent="0.25">
      <c r="A44" s="10"/>
      <c r="G44" s="20"/>
      <c r="H44" s="21"/>
      <c r="I44" s="22" t="s">
        <v>192</v>
      </c>
      <c r="J44" s="19">
        <f>60/SQRT(G43*J43)</f>
        <v>148.08721943977309</v>
      </c>
      <c r="K44" s="18" t="s">
        <v>193</v>
      </c>
    </row>
    <row r="45" spans="1:17" x14ac:dyDescent="0.2">
      <c r="A45" s="10"/>
    </row>
    <row r="46" spans="1:17" ht="30" customHeight="1" x14ac:dyDescent="0.2">
      <c r="A46" s="23" t="s">
        <v>11</v>
      </c>
      <c r="B46" s="24"/>
      <c r="C46" s="24"/>
      <c r="D46" s="24"/>
      <c r="E46" s="24"/>
      <c r="F46" s="24"/>
      <c r="G46" s="24"/>
      <c r="H46" s="24"/>
      <c r="I46" s="24"/>
      <c r="J46" s="24"/>
      <c r="K46" s="24"/>
      <c r="L46" s="24"/>
      <c r="M46" s="24"/>
      <c r="N46" s="24"/>
      <c r="O46" s="24"/>
      <c r="P46" s="24"/>
    </row>
    <row r="47" spans="1:17" ht="13.5" thickBot="1" x14ac:dyDescent="0.25">
      <c r="A47" s="10" t="s">
        <v>172</v>
      </c>
      <c r="E47" s="2" t="s">
        <v>194</v>
      </c>
      <c r="F47">
        <f>(3+E/5)/1000</f>
        <v>4.0000000000000001E-3</v>
      </c>
      <c r="G47" s="2" t="s">
        <v>197</v>
      </c>
      <c r="H47" t="s">
        <v>195</v>
      </c>
      <c r="I47">
        <f>(2+D/10)/2/1000</f>
        <v>1.1999999999999999E-3</v>
      </c>
      <c r="J47" s="2" t="s">
        <v>191</v>
      </c>
    </row>
    <row r="48" spans="1:17" ht="13.5" thickBot="1" x14ac:dyDescent="0.25">
      <c r="E48" t="s">
        <v>196</v>
      </c>
      <c r="F48">
        <f>1*1*(50+D)/1000/(100+F*20)</f>
        <v>2.4545454545454545E-4</v>
      </c>
      <c r="G48" s="2" t="s">
        <v>199</v>
      </c>
      <c r="H48" s="25" t="s">
        <v>198</v>
      </c>
      <c r="I48" s="26">
        <f>340/2/PI()*SQRT(PI()*rr^2/(V*(l+PI()/2*rr)))</f>
        <v>95.763077985680525</v>
      </c>
      <c r="J48" s="27" t="s">
        <v>193</v>
      </c>
    </row>
    <row r="50" spans="5:9" x14ac:dyDescent="0.2">
      <c r="E50" s="2"/>
      <c r="H50" s="2" t="s">
        <v>198</v>
      </c>
      <c r="I50">
        <f>340/2/PI()*SQRT(PI()*((2+D/10)/2/1000)^2/((50+D)/1000/(100+F*20)*(((3+E/5)/1000)+PI()/2*((2+D/10)/2/1000))))</f>
        <v>95.763077985680525</v>
      </c>
    </row>
  </sheetData>
  <mergeCells count="3">
    <mergeCell ref="A38:Q38"/>
    <mergeCell ref="A42:P42"/>
    <mergeCell ref="A46:P4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2053" r:id="rId4">
          <objectPr defaultSize="0" autoPict="0" r:id="rId5">
            <anchor moveWithCells="1">
              <from>
                <xdr:col>12</xdr:col>
                <xdr:colOff>0</xdr:colOff>
                <xdr:row>34</xdr:row>
                <xdr:rowOff>0</xdr:rowOff>
              </from>
              <to>
                <xdr:col>14</xdr:col>
                <xdr:colOff>542925</xdr:colOff>
                <xdr:row>36</xdr:row>
                <xdr:rowOff>190500</xdr:rowOff>
              </to>
            </anchor>
          </objectPr>
        </oleObject>
      </mc:Choice>
      <mc:Fallback>
        <oleObject progId="Equation.3" shapeId="2053" r:id="rId4"/>
      </mc:Fallback>
    </mc:AlternateContent>
    <mc:AlternateContent xmlns:mc="http://schemas.openxmlformats.org/markup-compatibility/2006">
      <mc:Choice Requires="x14">
        <oleObject progId="Equation.3" shapeId="2054" r:id="rId6">
          <objectPr defaultSize="0" autoPict="0" r:id="rId7">
            <anchor moveWithCells="1">
              <from>
                <xdr:col>11</xdr:col>
                <xdr:colOff>600075</xdr:colOff>
                <xdr:row>42</xdr:row>
                <xdr:rowOff>9525</xdr:rowOff>
              </from>
              <to>
                <xdr:col>13</xdr:col>
                <xdr:colOff>180975</xdr:colOff>
                <xdr:row>44</xdr:row>
                <xdr:rowOff>142875</xdr:rowOff>
              </to>
            </anchor>
          </objectPr>
        </oleObject>
      </mc:Choice>
      <mc:Fallback>
        <oleObject progId="Equation.3" shapeId="2054" r:id="rId6"/>
      </mc:Fallback>
    </mc:AlternateContent>
    <mc:AlternateContent xmlns:mc="http://schemas.openxmlformats.org/markup-compatibility/2006">
      <mc:Choice Requires="x14">
        <oleObject progId="Equation.3" shapeId="2058" r:id="rId8">
          <objectPr defaultSize="0" r:id="rId9">
            <anchor moveWithCells="1">
              <from>
                <xdr:col>10</xdr:col>
                <xdr:colOff>142875</xdr:colOff>
                <xdr:row>46</xdr:row>
                <xdr:rowOff>28575</xdr:rowOff>
              </from>
              <to>
                <xdr:col>12</xdr:col>
                <xdr:colOff>533400</xdr:colOff>
                <xdr:row>50</xdr:row>
                <xdr:rowOff>47625</xdr:rowOff>
              </to>
            </anchor>
          </objectPr>
        </oleObject>
      </mc:Choice>
      <mc:Fallback>
        <oleObject progId="Equation.3" shapeId="2058"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Form responses 1</vt:lpstr>
      <vt:lpstr>Solution</vt:lpstr>
      <vt:lpstr>A</vt:lpstr>
      <vt:lpstr>B</vt:lpstr>
      <vt:lpstr>CC</vt:lpstr>
      <vt:lpstr>D</vt:lpstr>
      <vt:lpstr>E</vt:lpstr>
      <vt:lpstr>F</vt:lpstr>
      <vt:lpstr>l</vt:lpstr>
      <vt:lpstr>ll</vt:lpstr>
      <vt:lpstr>rr</vt:lpstr>
      <vt:lpstr>rrr</vt:lpstr>
      <vt:lpstr>V</vt:lpstr>
      <vt:lpstr>VV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Angelo Farina</cp:lastModifiedBy>
  <dcterms:created xsi:type="dcterms:W3CDTF">2019-11-25T14:47:15Z</dcterms:created>
  <dcterms:modified xsi:type="dcterms:W3CDTF">2019-12-08T21:51:33Z</dcterms:modified>
</cp:coreProperties>
</file>