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utori" sheetId="1" r:id="rId1"/>
    <sheet name="Unità di misura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Matteo</author>
  </authors>
  <commentList>
    <comment ref="B1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Chilogrammetro al secondo</t>
        </r>
      </text>
    </comment>
    <comment ref="B13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Watt</t>
        </r>
      </text>
    </comment>
    <comment ref="B15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Cavallo vapore
</t>
        </r>
      </text>
    </comment>
    <comment ref="B16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Horse power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Joule
Watt per secondo</t>
        </r>
      </text>
    </comment>
    <comment ref="B22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erg = Come quelli della benzina :-)</t>
        </r>
      </text>
    </comment>
    <comment ref="B23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Caloria
</t>
        </r>
      </text>
    </comment>
    <comment ref="B25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Elettronvolt</t>
        </r>
      </text>
    </comment>
    <comment ref="B32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Pascal</t>
        </r>
      </text>
    </comment>
    <comment ref="B33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atmosfera</t>
        </r>
      </text>
    </comment>
    <comment ref="B3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bar</t>
        </r>
      </text>
    </comment>
    <comment ref="B35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torricelli o millimetri di mercurio</t>
        </r>
      </text>
    </comment>
    <comment ref="B36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metri di colonna d'acqua</t>
        </r>
      </text>
    </comment>
    <comment ref="B37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chilogrammetro su cm</t>
        </r>
        <r>
          <rPr>
            <sz val="8"/>
            <rFont val="Arial"/>
            <family val="2"/>
          </rPr>
          <t>²</t>
        </r>
      </text>
    </comment>
    <comment ref="B42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Kelvin</t>
        </r>
      </text>
    </comment>
    <comment ref="B43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Celsius</t>
        </r>
      </text>
    </comment>
    <comment ref="B4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Fahrenheit</t>
        </r>
      </text>
    </comment>
    <comment ref="B45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Rèaumur</t>
        </r>
      </text>
    </comment>
    <comment ref="B26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British thermal unit</t>
        </r>
      </text>
    </comment>
    <comment ref="B27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Chilowattora</t>
        </r>
      </text>
    </comment>
    <comment ref="B50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chilometri orari</t>
        </r>
      </text>
    </comment>
    <comment ref="B51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metri al secondo</t>
        </r>
      </text>
    </comment>
    <comment ref="B52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miglia all'ora</t>
        </r>
      </text>
    </comment>
    <comment ref="B53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piedi al secondo</t>
        </r>
      </text>
    </comment>
    <comment ref="B2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Frigoria
Chilocaloria</t>
        </r>
      </text>
    </comment>
    <comment ref="B58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Grammo al centimetro cubo</t>
        </r>
      </text>
    </comment>
    <comment ref="B59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Chilogrammo al metro cubo</t>
        </r>
      </text>
    </comment>
    <comment ref="B60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Libra al piede cubo</t>
        </r>
      </text>
    </comment>
    <comment ref="B61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Chilogrammo al piede cubo</t>
        </r>
      </text>
    </comment>
    <comment ref="B66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Pascal per secondo
Newton per secondo fratto metro quadro
Chilogrammo fratto metro per secondo</t>
        </r>
      </text>
    </comment>
    <comment ref="B67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Poise
Grammo fratto centimetro per secondo
</t>
        </r>
      </text>
    </comment>
    <comment ref="B72" authorId="0">
      <text>
        <r>
          <rPr>
            <b/>
            <sz val="8"/>
            <rFont val="Tahoma"/>
            <family val="0"/>
          </rPr>
          <t xml:space="preserve">Matteo:
</t>
        </r>
        <r>
          <rPr>
            <sz val="8"/>
            <rFont val="Tahoma"/>
            <family val="2"/>
          </rPr>
          <t>Chilogrammo all'ora</t>
        </r>
      </text>
    </comment>
    <comment ref="B73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Libra al secondo</t>
        </r>
      </text>
    </comment>
    <comment ref="B7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Chilogrammo al secondo</t>
        </r>
      </text>
    </comment>
  </commentList>
</comments>
</file>

<file path=xl/sharedStrings.xml><?xml version="1.0" encoding="utf-8"?>
<sst xmlns="http://schemas.openxmlformats.org/spreadsheetml/2006/main" count="88" uniqueCount="58">
  <si>
    <t>POTENZA</t>
  </si>
  <si>
    <t>W</t>
  </si>
  <si>
    <t>Kpm/s</t>
  </si>
  <si>
    <t>CV</t>
  </si>
  <si>
    <t>HP</t>
  </si>
  <si>
    <t>ENERGIA</t>
  </si>
  <si>
    <t>erg</t>
  </si>
  <si>
    <t>cal</t>
  </si>
  <si>
    <t>eV</t>
  </si>
  <si>
    <t>Pa</t>
  </si>
  <si>
    <t>atm</t>
  </si>
  <si>
    <t>bar</t>
  </si>
  <si>
    <t>torr (mmHg)</t>
  </si>
  <si>
    <t>PRESSIONE</t>
  </si>
  <si>
    <r>
      <t>m H</t>
    </r>
    <r>
      <rPr>
        <sz val="8"/>
        <rFont val="Arial"/>
        <family val="2"/>
      </rPr>
      <t>2</t>
    </r>
    <r>
      <rPr>
        <sz val="10"/>
        <rFont val="Arial"/>
        <family val="0"/>
      </rPr>
      <t>O</t>
    </r>
  </si>
  <si>
    <r>
      <t>kp/cm</t>
    </r>
    <r>
      <rPr>
        <sz val="10"/>
        <rFont val="Arial"/>
        <family val="2"/>
      </rPr>
      <t>²</t>
    </r>
  </si>
  <si>
    <r>
      <t>Pa (N/m</t>
    </r>
    <r>
      <rPr>
        <sz val="10"/>
        <rFont val="Arial"/>
        <family val="2"/>
      </rPr>
      <t>²</t>
    </r>
    <r>
      <rPr>
        <sz val="10"/>
        <rFont val="Arial"/>
        <family val="0"/>
      </rPr>
      <t>)</t>
    </r>
  </si>
  <si>
    <t>TEMPERATURA</t>
  </si>
  <si>
    <t>K</t>
  </si>
  <si>
    <t>°C</t>
  </si>
  <si>
    <t>°R</t>
  </si>
  <si>
    <t>°F</t>
  </si>
  <si>
    <t>Btu</t>
  </si>
  <si>
    <t>KWh</t>
  </si>
  <si>
    <t>VELOCITA'</t>
  </si>
  <si>
    <t>Km/h</t>
  </si>
  <si>
    <t>m/s</t>
  </si>
  <si>
    <t>mi/h</t>
  </si>
  <si>
    <t>ft/s</t>
  </si>
  <si>
    <t>LEGENDA</t>
  </si>
  <si>
    <t xml:space="preserve">   Dati da inserire</t>
  </si>
  <si>
    <t xml:space="preserve">   Dati trasformati</t>
  </si>
  <si>
    <t>Come leggere agevolmente i grafici</t>
  </si>
  <si>
    <t>DENSITA'</t>
  </si>
  <si>
    <r>
      <t>g/cm</t>
    </r>
    <r>
      <rPr>
        <sz val="10"/>
        <rFont val="Arial"/>
        <family val="2"/>
      </rPr>
      <t>³</t>
    </r>
  </si>
  <si>
    <r>
      <t>kg/m</t>
    </r>
    <r>
      <rPr>
        <sz val="10"/>
        <rFont val="Arial"/>
        <family val="2"/>
      </rPr>
      <t>³</t>
    </r>
  </si>
  <si>
    <r>
      <t>lb/ft</t>
    </r>
    <r>
      <rPr>
        <sz val="10"/>
        <rFont val="Arial"/>
        <family val="2"/>
      </rPr>
      <t>³</t>
    </r>
  </si>
  <si>
    <r>
      <t>kg/ft</t>
    </r>
    <r>
      <rPr>
        <sz val="10"/>
        <rFont val="Arial"/>
        <family val="2"/>
      </rPr>
      <t>³</t>
    </r>
  </si>
  <si>
    <r>
      <t>Pas = Ns/m</t>
    </r>
    <r>
      <rPr>
        <sz val="10"/>
        <rFont val="Arial"/>
        <family val="2"/>
      </rPr>
      <t>² = kg/ms</t>
    </r>
  </si>
  <si>
    <t>μ = g/cms</t>
  </si>
  <si>
    <t>VISCOSITA' DINAMICA</t>
  </si>
  <si>
    <t>Pas…</t>
  </si>
  <si>
    <t>μ…</t>
  </si>
  <si>
    <t>Frig = kcal</t>
  </si>
  <si>
    <t>Frig =kcal</t>
  </si>
  <si>
    <t>PORTATA</t>
  </si>
  <si>
    <t>kg/h</t>
  </si>
  <si>
    <t>lb/s</t>
  </si>
  <si>
    <t>kg/s</t>
  </si>
  <si>
    <t>J = Ws</t>
  </si>
  <si>
    <t>Al contrario di tante tabelle per la trasformazione di unità di misura, dove si possono leggere i dati entrando in tabella sia in verticale che in orizzontale, in questo file si deve inserire il valore cercato nella colonna C e leggere sulla corrispondente riga il valore trasformato.</t>
  </si>
  <si>
    <t>Per la creazione di tutte le tabelle si ringrazia</t>
  </si>
  <si>
    <t>Bianchi Michael</t>
  </si>
  <si>
    <t>Bicchieri Stefano</t>
  </si>
  <si>
    <t>Botti Matteo</t>
  </si>
  <si>
    <t>Gerlando LoPresti</t>
  </si>
  <si>
    <t>Gibellini Mjria</t>
  </si>
  <si>
    <t>Esempio: trasformare 15 CV in HP.                                            Si inserisce il valore 15 in "C15" e si legge il risultato in "G15" (14,79)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</si>
</sst>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#,##0.00000"/>
    <numFmt numFmtId="195" formatCode="#,##0.000"/>
    <numFmt numFmtId="196" formatCode="0.000"/>
    <numFmt numFmtId="197" formatCode="0.000000"/>
    <numFmt numFmtId="198" formatCode="0.0000"/>
    <numFmt numFmtId="199" formatCode="0.0000000"/>
    <numFmt numFmtId="200" formatCode="0.00000"/>
    <numFmt numFmtId="201" formatCode="0.0000E+00"/>
    <numFmt numFmtId="202" formatCode="0.000E+00"/>
    <numFmt numFmtId="203" formatCode="0.00000000"/>
    <numFmt numFmtId="204" formatCode="00000"/>
    <numFmt numFmtId="205" formatCode="0.000000000"/>
    <numFmt numFmtId="206" formatCode="0.0000000000"/>
    <numFmt numFmtId="207" formatCode="0.0"/>
    <numFmt numFmtId="208" formatCode="0.0E+00"/>
    <numFmt numFmtId="209" formatCode="0E+00"/>
    <numFmt numFmtId="210" formatCode="h\.mm\.ss"/>
    <numFmt numFmtId="211" formatCode="0.00000000000"/>
    <numFmt numFmtId="212" formatCode="0.000000000000"/>
    <numFmt numFmtId="213" formatCode="0.0000000000000"/>
    <numFmt numFmtId="214" formatCode="0.00000000000000"/>
    <numFmt numFmtId="215" formatCode="0.000000000000000"/>
    <numFmt numFmtId="216" formatCode="0.0000000000000000"/>
    <numFmt numFmtId="217" formatCode="0.00000000000000000"/>
    <numFmt numFmtId="218" formatCode="0.000000000000000000"/>
    <numFmt numFmtId="219" formatCode="0.0000000000000000000"/>
    <numFmt numFmtId="220" formatCode="0.00000000000000000000"/>
    <numFmt numFmtId="221" formatCode="0.0000000000000000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6"/>
      <name val="BankGothic Md BT"/>
      <family val="2"/>
    </font>
    <font>
      <sz val="14"/>
      <color indexed="9"/>
      <name val="BankGothic Md BT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3" borderId="1" xfId="0" applyFill="1" applyBorder="1" applyAlignment="1">
      <alignment horizontal="right" vertical="top" wrapText="1"/>
    </xf>
    <xf numFmtId="0" fontId="0" fillId="3" borderId="11" xfId="0" applyFill="1" applyBorder="1" applyAlignment="1">
      <alignment horizontal="right" vertical="top" wrapText="1"/>
    </xf>
    <xf numFmtId="194" fontId="0" fillId="3" borderId="1" xfId="0" applyNumberFormat="1" applyFill="1" applyBorder="1" applyAlignment="1">
      <alignment horizontal="right" vertical="top" wrapText="1"/>
    </xf>
    <xf numFmtId="0" fontId="0" fillId="3" borderId="1" xfId="0" applyNumberFormat="1" applyFill="1" applyBorder="1" applyAlignment="1">
      <alignment horizontal="right" vertical="top" wrapText="1"/>
    </xf>
    <xf numFmtId="195" fontId="0" fillId="3" borderId="11" xfId="0" applyNumberFormat="1" applyFill="1" applyBorder="1" applyAlignment="1">
      <alignment horizontal="right" vertical="top" wrapText="1"/>
    </xf>
    <xf numFmtId="2" fontId="0" fillId="3" borderId="1" xfId="0" applyNumberFormat="1" applyFill="1" applyBorder="1" applyAlignment="1">
      <alignment horizontal="right" vertical="top" wrapText="1"/>
    </xf>
    <xf numFmtId="2" fontId="0" fillId="3" borderId="11" xfId="0" applyNumberFormat="1" applyFill="1" applyBorder="1" applyAlignment="1">
      <alignment horizontal="right" vertical="top" wrapText="1"/>
    </xf>
    <xf numFmtId="196" fontId="0" fillId="3" borderId="1" xfId="0" applyNumberForma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0" fontId="0" fillId="3" borderId="2" xfId="0" applyNumberForma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4" borderId="1" xfId="0" applyFill="1" applyBorder="1" applyAlignment="1">
      <alignment horizontal="right" vertical="top" wrapText="1"/>
    </xf>
    <xf numFmtId="2" fontId="0" fillId="4" borderId="12" xfId="0" applyNumberFormat="1" applyFill="1" applyBorder="1" applyAlignment="1">
      <alignment horizontal="right" vertical="top" wrapText="1"/>
    </xf>
    <xf numFmtId="0" fontId="0" fillId="4" borderId="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2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4" borderId="12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3" borderId="1" xfId="0" applyFill="1" applyBorder="1" applyAlignment="1">
      <alignment/>
    </xf>
    <xf numFmtId="197" fontId="0" fillId="3" borderId="1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98" fontId="0" fillId="3" borderId="1" xfId="0" applyNumberFormat="1" applyFill="1" applyBorder="1" applyAlignment="1">
      <alignment/>
    </xf>
    <xf numFmtId="0" fontId="0" fillId="0" borderId="14" xfId="0" applyBorder="1" applyAlignment="1">
      <alignment horizontal="left"/>
    </xf>
    <xf numFmtId="198" fontId="0" fillId="3" borderId="1" xfId="0" applyNumberFormat="1" applyFont="1" applyFill="1" applyBorder="1" applyAlignment="1">
      <alignment/>
    </xf>
    <xf numFmtId="196" fontId="0" fillId="3" borderId="2" xfId="0" applyNumberFormat="1" applyFont="1" applyFill="1" applyBorder="1" applyAlignment="1">
      <alignment/>
    </xf>
    <xf numFmtId="198" fontId="0" fillId="3" borderId="11" xfId="0" applyNumberFormat="1" applyFill="1" applyBorder="1" applyAlignment="1">
      <alignment/>
    </xf>
    <xf numFmtId="198" fontId="0" fillId="3" borderId="2" xfId="0" applyNumberFormat="1" applyFont="1" applyFill="1" applyBorder="1" applyAlignment="1">
      <alignment/>
    </xf>
    <xf numFmtId="198" fontId="0" fillId="3" borderId="2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6" xfId="0" applyFont="1" applyFill="1" applyBorder="1" applyAlignment="1">
      <alignment/>
    </xf>
    <xf numFmtId="200" fontId="0" fillId="3" borderId="2" xfId="0" applyNumberFormat="1" applyFill="1" applyBorder="1" applyAlignment="1">
      <alignment/>
    </xf>
    <xf numFmtId="200" fontId="0" fillId="3" borderId="1" xfId="0" applyNumberFormat="1" applyFont="1" applyFill="1" applyBorder="1" applyAlignment="1">
      <alignment/>
    </xf>
    <xf numFmtId="197" fontId="0" fillId="3" borderId="11" xfId="0" applyNumberFormat="1" applyFill="1" applyBorder="1" applyAlignment="1">
      <alignment/>
    </xf>
    <xf numFmtId="196" fontId="0" fillId="3" borderId="1" xfId="0" applyNumberFormat="1" applyFont="1" applyFill="1" applyBorder="1" applyAlignment="1">
      <alignment/>
    </xf>
    <xf numFmtId="200" fontId="0" fillId="3" borderId="11" xfId="0" applyNumberFormat="1" applyFont="1" applyFill="1" applyBorder="1" applyAlignment="1">
      <alignment/>
    </xf>
    <xf numFmtId="196" fontId="0" fillId="3" borderId="11" xfId="0" applyNumberFormat="1" applyFont="1" applyFill="1" applyBorder="1" applyAlignment="1">
      <alignment/>
    </xf>
    <xf numFmtId="197" fontId="0" fillId="3" borderId="13" xfId="0" applyNumberFormat="1" applyFill="1" applyBorder="1" applyAlignment="1">
      <alignment/>
    </xf>
    <xf numFmtId="196" fontId="0" fillId="3" borderId="2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0" fontId="0" fillId="0" borderId="0" xfId="0" applyBorder="1" applyAlignment="1">
      <alignment/>
    </xf>
    <xf numFmtId="197" fontId="0" fillId="3" borderId="1" xfId="0" applyNumberFormat="1" applyFill="1" applyBorder="1" applyAlignment="1">
      <alignment horizontal="right" vertical="top" wrapText="1"/>
    </xf>
    <xf numFmtId="198" fontId="0" fillId="3" borderId="1" xfId="0" applyNumberFormat="1" applyFill="1" applyBorder="1" applyAlignment="1">
      <alignment horizontal="right" vertical="top" wrapText="1"/>
    </xf>
    <xf numFmtId="198" fontId="0" fillId="3" borderId="2" xfId="0" applyNumberFormat="1" applyFill="1" applyBorder="1" applyAlignment="1">
      <alignment horizontal="right" vertical="top" wrapText="1"/>
    </xf>
    <xf numFmtId="200" fontId="0" fillId="3" borderId="1" xfId="0" applyNumberFormat="1" applyFill="1" applyBorder="1" applyAlignment="1">
      <alignment horizontal="right" vertical="top" wrapText="1"/>
    </xf>
    <xf numFmtId="2" fontId="0" fillId="3" borderId="2" xfId="0" applyNumberFormat="1" applyFill="1" applyBorder="1" applyAlignment="1">
      <alignment horizontal="right" vertical="top" wrapText="1"/>
    </xf>
    <xf numFmtId="197" fontId="0" fillId="3" borderId="11" xfId="0" applyNumberFormat="1" applyFill="1" applyBorder="1" applyAlignment="1">
      <alignment horizontal="right" vertical="top" wrapText="1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43" fontId="0" fillId="6" borderId="20" xfId="16" applyFont="1" applyFill="1" applyBorder="1" applyAlignment="1">
      <alignment horizontal="center" vertical="center" wrapText="1"/>
    </xf>
    <xf numFmtId="43" fontId="0" fillId="6" borderId="21" xfId="16" applyFill="1" applyBorder="1" applyAlignment="1">
      <alignment horizontal="center" vertical="center" wrapText="1"/>
    </xf>
    <xf numFmtId="43" fontId="0" fillId="6" borderId="22" xfId="16" applyFill="1" applyBorder="1" applyAlignment="1">
      <alignment horizontal="center" vertical="center" wrapText="1"/>
    </xf>
    <xf numFmtId="43" fontId="0" fillId="6" borderId="23" xfId="16" applyFill="1" applyBorder="1" applyAlignment="1">
      <alignment horizontal="center" vertical="center" wrapText="1"/>
    </xf>
    <xf numFmtId="43" fontId="0" fillId="6" borderId="0" xfId="16" applyFill="1" applyBorder="1" applyAlignment="1">
      <alignment horizontal="center" vertical="center" wrapText="1"/>
    </xf>
    <xf numFmtId="43" fontId="0" fillId="6" borderId="24" xfId="16" applyFill="1" applyBorder="1" applyAlignment="1">
      <alignment horizontal="center" vertical="center" wrapText="1"/>
    </xf>
    <xf numFmtId="43" fontId="0" fillId="6" borderId="25" xfId="16" applyFill="1" applyBorder="1" applyAlignment="1">
      <alignment horizontal="center" vertical="center" wrapText="1"/>
    </xf>
    <xf numFmtId="43" fontId="0" fillId="6" borderId="26" xfId="16" applyFill="1" applyBorder="1" applyAlignment="1">
      <alignment horizontal="center" vertical="center" wrapText="1"/>
    </xf>
    <xf numFmtId="43" fontId="0" fillId="6" borderId="27" xfId="16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0" fontId="1" fillId="5" borderId="31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5" borderId="2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6" fillId="7" borderId="47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6" fillId="7" borderId="49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9"/>
  <sheetViews>
    <sheetView tabSelected="1" workbookViewId="0" topLeftCell="A1">
      <selection activeCell="J8" sqref="J8"/>
    </sheetView>
  </sheetViews>
  <sheetFormatPr defaultColWidth="9.140625" defaultRowHeight="12.75"/>
  <sheetData>
    <row r="3" spans="2:6" ht="17.25" customHeight="1">
      <c r="B3" s="139" t="s">
        <v>51</v>
      </c>
      <c r="C3" s="140"/>
      <c r="D3" s="140"/>
      <c r="E3" s="140"/>
      <c r="F3" s="141"/>
    </row>
    <row r="4" spans="2:6" ht="18" customHeight="1">
      <c r="B4" s="142"/>
      <c r="C4" s="143"/>
      <c r="D4" s="143"/>
      <c r="E4" s="143"/>
      <c r="F4" s="144"/>
    </row>
    <row r="5" spans="2:6" ht="18">
      <c r="B5" s="145" t="s">
        <v>52</v>
      </c>
      <c r="C5" s="146"/>
      <c r="D5" s="146"/>
      <c r="E5" s="146"/>
      <c r="F5" s="147"/>
    </row>
    <row r="6" spans="2:9" ht="18">
      <c r="B6" s="145" t="s">
        <v>53</v>
      </c>
      <c r="C6" s="146"/>
      <c r="D6" s="146"/>
      <c r="E6" s="146"/>
      <c r="F6" s="147"/>
      <c r="H6" s="81"/>
      <c r="I6" s="81"/>
    </row>
    <row r="7" spans="2:9" ht="18">
      <c r="B7" s="145" t="s">
        <v>54</v>
      </c>
      <c r="C7" s="146"/>
      <c r="D7" s="146"/>
      <c r="E7" s="146"/>
      <c r="F7" s="147"/>
      <c r="H7" s="81"/>
      <c r="I7" s="81"/>
    </row>
    <row r="8" spans="2:9" ht="18">
      <c r="B8" s="145" t="s">
        <v>55</v>
      </c>
      <c r="C8" s="146"/>
      <c r="D8" s="146"/>
      <c r="E8" s="146"/>
      <c r="F8" s="147"/>
      <c r="H8" s="81"/>
      <c r="I8" s="81"/>
    </row>
    <row r="9" spans="2:9" ht="18">
      <c r="B9" s="145" t="s">
        <v>56</v>
      </c>
      <c r="C9" s="146"/>
      <c r="D9" s="146"/>
      <c r="E9" s="146"/>
      <c r="F9" s="147"/>
      <c r="H9" s="81"/>
      <c r="I9" s="81"/>
    </row>
  </sheetData>
  <mergeCells count="6">
    <mergeCell ref="B8:F8"/>
    <mergeCell ref="B9:F9"/>
    <mergeCell ref="B3:F4"/>
    <mergeCell ref="B5:F5"/>
    <mergeCell ref="B6:F6"/>
    <mergeCell ref="B7:F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4"/>
  <sheetViews>
    <sheetView workbookViewId="0" topLeftCell="A1">
      <selection activeCell="G5" sqref="G5"/>
    </sheetView>
  </sheetViews>
  <sheetFormatPr defaultColWidth="9.140625" defaultRowHeight="12.75"/>
  <cols>
    <col min="2" max="2" width="19.28125" style="0" bestFit="1" customWidth="1"/>
    <col min="3" max="3" width="11.421875" style="0" customWidth="1"/>
    <col min="4" max="4" width="11.57421875" style="0" customWidth="1"/>
    <col min="5" max="6" width="11.421875" style="0" customWidth="1"/>
    <col min="7" max="7" width="12.421875" style="0" bestFit="1" customWidth="1"/>
    <col min="8" max="9" width="11.421875" style="0" customWidth="1"/>
    <col min="10" max="11" width="12.421875" style="0" bestFit="1" customWidth="1"/>
  </cols>
  <sheetData>
    <row r="2" ht="13.5" thickBot="1"/>
    <row r="3" spans="2:12" ht="13.5" thickBot="1">
      <c r="B3" s="118" t="s">
        <v>29</v>
      </c>
      <c r="C3" s="119"/>
      <c r="D3" s="120"/>
      <c r="I3" s="88" t="s">
        <v>32</v>
      </c>
      <c r="J3" s="89"/>
      <c r="K3" s="89"/>
      <c r="L3" s="90"/>
    </row>
    <row r="4" spans="2:12" ht="12.75" customHeight="1">
      <c r="B4" s="127"/>
      <c r="C4" s="128"/>
      <c r="D4" s="129"/>
      <c r="I4" s="91" t="s">
        <v>50</v>
      </c>
      <c r="J4" s="92"/>
      <c r="K4" s="92"/>
      <c r="L4" s="93"/>
    </row>
    <row r="5" spans="2:12" ht="12.75" customHeight="1">
      <c r="B5" s="130" t="s">
        <v>30</v>
      </c>
      <c r="C5" s="131"/>
      <c r="D5" s="132"/>
      <c r="I5" s="94"/>
      <c r="J5" s="95"/>
      <c r="K5" s="95"/>
      <c r="L5" s="96"/>
    </row>
    <row r="6" spans="2:12" ht="12.75">
      <c r="B6" s="133"/>
      <c r="C6" s="134"/>
      <c r="D6" s="135"/>
      <c r="I6" s="94"/>
      <c r="J6" s="95"/>
      <c r="K6" s="95"/>
      <c r="L6" s="96"/>
    </row>
    <row r="7" spans="2:12" ht="12.75">
      <c r="B7" s="136" t="s">
        <v>31</v>
      </c>
      <c r="C7" s="137"/>
      <c r="D7" s="138"/>
      <c r="I7" s="94"/>
      <c r="J7" s="95"/>
      <c r="K7" s="95"/>
      <c r="L7" s="96"/>
    </row>
    <row r="8" spans="2:12" ht="13.5" thickBot="1">
      <c r="B8" s="121"/>
      <c r="C8" s="122"/>
      <c r="D8" s="123"/>
      <c r="I8" s="94"/>
      <c r="J8" s="95"/>
      <c r="K8" s="95"/>
      <c r="L8" s="96"/>
    </row>
    <row r="9" spans="9:12" ht="12.75">
      <c r="I9" s="94"/>
      <c r="J9" s="95"/>
      <c r="K9" s="95"/>
      <c r="L9" s="96"/>
    </row>
    <row r="10" spans="2:12" ht="13.5" thickBot="1">
      <c r="B10" s="27"/>
      <c r="C10" s="27"/>
      <c r="D10" s="28"/>
      <c r="E10" s="28"/>
      <c r="F10" s="28"/>
      <c r="G10" s="28"/>
      <c r="H10" s="26"/>
      <c r="I10" s="97"/>
      <c r="J10" s="98"/>
      <c r="K10" s="98"/>
      <c r="L10" s="99"/>
    </row>
    <row r="11" spans="2:12" ht="13.5" thickBot="1">
      <c r="B11" s="115" t="s">
        <v>0</v>
      </c>
      <c r="C11" s="116"/>
      <c r="D11" s="116"/>
      <c r="E11" s="116"/>
      <c r="F11" s="116"/>
      <c r="G11" s="117"/>
      <c r="H11" s="26"/>
      <c r="I11" s="100" t="s">
        <v>57</v>
      </c>
      <c r="J11" s="101"/>
      <c r="K11" s="101"/>
      <c r="L11" s="102"/>
    </row>
    <row r="12" spans="2:12" ht="12.75">
      <c r="B12" s="5"/>
      <c r="C12" s="6"/>
      <c r="D12" s="6" t="s">
        <v>1</v>
      </c>
      <c r="E12" s="6" t="s">
        <v>2</v>
      </c>
      <c r="F12" s="6" t="s">
        <v>3</v>
      </c>
      <c r="G12" s="7" t="s">
        <v>4</v>
      </c>
      <c r="H12" s="26"/>
      <c r="I12" s="103"/>
      <c r="J12" s="104"/>
      <c r="K12" s="104"/>
      <c r="L12" s="105"/>
    </row>
    <row r="13" spans="2:12" ht="12.75" customHeight="1">
      <c r="B13" s="8" t="s">
        <v>1</v>
      </c>
      <c r="C13" s="1">
        <v>1</v>
      </c>
      <c r="D13" s="34"/>
      <c r="E13" s="75">
        <f>C13/9.81</f>
        <v>0.1019367991845056</v>
      </c>
      <c r="F13" s="73">
        <f>C13/736</f>
        <v>0.001358695652173913</v>
      </c>
      <c r="G13" s="76">
        <f>C13/745.2</f>
        <v>0.0013419216317767041</v>
      </c>
      <c r="H13" s="26"/>
      <c r="I13" s="103"/>
      <c r="J13" s="104"/>
      <c r="K13" s="104"/>
      <c r="L13" s="105"/>
    </row>
    <row r="14" spans="2:12" ht="13.5" thickBot="1">
      <c r="B14" s="8" t="s">
        <v>2</v>
      </c>
      <c r="C14" s="1">
        <v>1</v>
      </c>
      <c r="D14" s="2">
        <f>C14*9.81</f>
        <v>9.81</v>
      </c>
      <c r="E14" s="34"/>
      <c r="F14" s="73">
        <f>C14/75</f>
        <v>0.013333333333333334</v>
      </c>
      <c r="G14" s="76">
        <f>C14/76.4</f>
        <v>0.013089005235602092</v>
      </c>
      <c r="H14" s="26"/>
      <c r="I14" s="106"/>
      <c r="J14" s="107"/>
      <c r="K14" s="107"/>
      <c r="L14" s="108"/>
    </row>
    <row r="15" spans="2:12" ht="12.75">
      <c r="B15" s="8" t="s">
        <v>3</v>
      </c>
      <c r="C15" s="1">
        <v>1</v>
      </c>
      <c r="D15" s="2">
        <f>C15*736</f>
        <v>736</v>
      </c>
      <c r="E15" s="2">
        <f>C15*75</f>
        <v>75</v>
      </c>
      <c r="F15" s="34"/>
      <c r="G15" s="77">
        <f>C15/1.014</f>
        <v>0.9861932938856016</v>
      </c>
      <c r="H15" s="26"/>
      <c r="I15" s="50"/>
      <c r="J15" s="50"/>
      <c r="K15" s="50"/>
      <c r="L15" s="50"/>
    </row>
    <row r="16" spans="2:12" ht="13.5" thickBot="1">
      <c r="B16" s="9" t="s">
        <v>4</v>
      </c>
      <c r="C16" s="3">
        <v>1</v>
      </c>
      <c r="D16" s="4">
        <f>C16*745.2</f>
        <v>745.2</v>
      </c>
      <c r="E16" s="4">
        <f>C16*76.4</f>
        <v>76.4</v>
      </c>
      <c r="F16" s="4">
        <f>C16*1.014</f>
        <v>1.014</v>
      </c>
      <c r="G16" s="35"/>
      <c r="H16" s="26"/>
      <c r="I16" s="50"/>
      <c r="J16" s="50"/>
      <c r="K16" s="50"/>
      <c r="L16" s="50"/>
    </row>
    <row r="17" spans="2:12" ht="12.75">
      <c r="B17" s="27"/>
      <c r="C17" s="27"/>
      <c r="D17" s="28"/>
      <c r="E17" s="28"/>
      <c r="F17" s="28"/>
      <c r="G17" s="28"/>
      <c r="H17" s="26"/>
      <c r="I17" s="49"/>
      <c r="J17" s="49"/>
      <c r="K17" s="49"/>
      <c r="L17" s="49"/>
    </row>
    <row r="18" ht="13.5" thickBot="1">
      <c r="K18" s="81"/>
    </row>
    <row r="19" spans="2:11" ht="13.5" thickBot="1">
      <c r="B19" s="109" t="s">
        <v>5</v>
      </c>
      <c r="C19" s="110"/>
      <c r="D19" s="110"/>
      <c r="E19" s="110"/>
      <c r="F19" s="110"/>
      <c r="G19" s="110"/>
      <c r="H19" s="110"/>
      <c r="I19" s="110"/>
      <c r="J19" s="111"/>
      <c r="K19" s="27"/>
    </row>
    <row r="20" spans="2:11" ht="12.75">
      <c r="B20" s="11"/>
      <c r="C20" s="12"/>
      <c r="D20" s="12" t="s">
        <v>49</v>
      </c>
      <c r="E20" s="12" t="s">
        <v>6</v>
      </c>
      <c r="F20" s="12" t="s">
        <v>7</v>
      </c>
      <c r="G20" s="46" t="s">
        <v>44</v>
      </c>
      <c r="H20" s="13" t="s">
        <v>8</v>
      </c>
      <c r="I20" s="43" t="s">
        <v>22</v>
      </c>
      <c r="J20" s="31" t="s">
        <v>23</v>
      </c>
      <c r="K20" s="27"/>
    </row>
    <row r="21" spans="2:11" ht="12.75">
      <c r="B21" s="8" t="s">
        <v>49</v>
      </c>
      <c r="C21" s="1">
        <v>1</v>
      </c>
      <c r="D21" s="34"/>
      <c r="E21" s="2">
        <f>C21/10^7</f>
        <v>1E-07</v>
      </c>
      <c r="F21" s="75">
        <f>C21/4.184</f>
        <v>0.2390057361376673</v>
      </c>
      <c r="G21" s="48">
        <f>C21/4184</f>
        <v>0.0002390057361376673</v>
      </c>
      <c r="H21" s="2">
        <f>C21/(1.602177*10^-19)</f>
        <v>6.241507648655548E+18</v>
      </c>
      <c r="I21" s="78">
        <f>C21/1055.056</f>
        <v>0.0009478169879134378</v>
      </c>
      <c r="J21" s="38">
        <f>C21/3600000</f>
        <v>2.7777777777777776E-07</v>
      </c>
      <c r="K21" s="27"/>
    </row>
    <row r="22" spans="2:11" ht="12.75">
      <c r="B22" s="8" t="s">
        <v>6</v>
      </c>
      <c r="C22" s="1">
        <v>1</v>
      </c>
      <c r="D22" s="2">
        <f>C22*10^7</f>
        <v>10000000</v>
      </c>
      <c r="E22" s="34"/>
      <c r="F22" s="2">
        <f>C22/(4.184*10^7)</f>
        <v>2.390057361376673E-08</v>
      </c>
      <c r="G22" s="47">
        <f>C22/(4184*10^7)</f>
        <v>2.390057361376673E-11</v>
      </c>
      <c r="H22" s="2">
        <f>C22/(1.602177*10^-12)</f>
        <v>624150764865.5548</v>
      </c>
      <c r="I22" s="41">
        <f>C22/(1.055056*10^10)</f>
        <v>9.478169879134378E-11</v>
      </c>
      <c r="J22" s="38">
        <f>C22/(36*10^12)</f>
        <v>2.7777777777777778E-14</v>
      </c>
      <c r="K22" s="27"/>
    </row>
    <row r="23" spans="2:11" ht="12.75">
      <c r="B23" s="8" t="s">
        <v>7</v>
      </c>
      <c r="C23" s="1">
        <v>1</v>
      </c>
      <c r="D23" s="2">
        <f>C23*4.184</f>
        <v>4.184</v>
      </c>
      <c r="E23" s="2">
        <f>C23*4.184*10^7</f>
        <v>41840000</v>
      </c>
      <c r="F23" s="34"/>
      <c r="G23" s="47">
        <f>C23/1000</f>
        <v>0.001</v>
      </c>
      <c r="H23" s="2">
        <f>C23/(1.602177*10^-19/4.184)</f>
        <v>2.6114468001974817E+19</v>
      </c>
      <c r="I23" s="41">
        <f>C23/(1055.056/4.184)</f>
        <v>0.0039656662774298235</v>
      </c>
      <c r="J23" s="38">
        <f>C23/(3600000/4.184)</f>
        <v>1.1622222222222223E-06</v>
      </c>
      <c r="K23" s="27"/>
    </row>
    <row r="24" spans="2:11" ht="12.75">
      <c r="B24" s="8" t="s">
        <v>43</v>
      </c>
      <c r="C24" s="1">
        <v>1</v>
      </c>
      <c r="D24" s="2">
        <f>C24*4184</f>
        <v>4184</v>
      </c>
      <c r="E24" s="2">
        <f>C24*4184*10^7</f>
        <v>41840000000</v>
      </c>
      <c r="F24" s="2">
        <f>C24*1000</f>
        <v>1000</v>
      </c>
      <c r="G24" s="36"/>
      <c r="H24" s="2">
        <f>C24/(1.602177*10^-19/4184)</f>
        <v>2.6114468001974814E+22</v>
      </c>
      <c r="I24" s="41">
        <f>C24/(1055.056/4184)</f>
        <v>3.9656662774298237</v>
      </c>
      <c r="J24" s="38">
        <f>C24/(3600000/4184)</f>
        <v>0.0011622222222222223</v>
      </c>
      <c r="K24" s="27"/>
    </row>
    <row r="25" spans="2:11" ht="12.75">
      <c r="B25" s="8" t="s">
        <v>8</v>
      </c>
      <c r="C25" s="1">
        <v>1</v>
      </c>
      <c r="D25" s="2">
        <f>C25*1.602177*10^-19</f>
        <v>1.6021769999999999E-19</v>
      </c>
      <c r="E25" s="2">
        <f>C25*1.602177*10^-12</f>
        <v>1.602177E-12</v>
      </c>
      <c r="F25" s="2">
        <f>C25*(1.602177*10^-19/4.184)</f>
        <v>3.8292949330783934E-20</v>
      </c>
      <c r="G25" s="47">
        <f>C25*(1.602177*10^-19/4184)</f>
        <v>3.8292949330783935E-23</v>
      </c>
      <c r="H25" s="34"/>
      <c r="I25" s="41">
        <f>C25/(1055.056/(1.602177*10^-19))</f>
        <v>1.5185705782441878E-22</v>
      </c>
      <c r="J25" s="38">
        <f>C25/(3600000/(1.602177*10^-19))</f>
        <v>4.4504916666666663E-26</v>
      </c>
      <c r="K25" s="27"/>
    </row>
    <row r="26" spans="2:11" ht="12.75">
      <c r="B26" s="8" t="s">
        <v>22</v>
      </c>
      <c r="C26" s="1">
        <v>1</v>
      </c>
      <c r="D26" s="2">
        <f>C26*1055.056</f>
        <v>1055.056</v>
      </c>
      <c r="E26" s="2">
        <f>C26*1.055056*10^10</f>
        <v>10550560000</v>
      </c>
      <c r="F26" s="29">
        <f>C26*(1055.056/4.184)</f>
        <v>252.1644359464627</v>
      </c>
      <c r="G26" s="51">
        <f>C26*(1055.056/4184)</f>
        <v>0.2521644359464627</v>
      </c>
      <c r="H26" s="2">
        <f>C26*(1055.056/(1.602177*10^-19))</f>
        <v>6.585140093759929E+21</v>
      </c>
      <c r="I26" s="42"/>
      <c r="J26" s="74">
        <f>C26/(3600000/1055.056)</f>
        <v>0.0002930711111111111</v>
      </c>
      <c r="K26" s="27"/>
    </row>
    <row r="27" spans="2:11" ht="13.5" thickBot="1">
      <c r="B27" s="9" t="s">
        <v>23</v>
      </c>
      <c r="C27" s="3">
        <v>1</v>
      </c>
      <c r="D27" s="4">
        <f>C27*3600000</f>
        <v>3600000</v>
      </c>
      <c r="E27" s="4">
        <f>C27*36*10^12</f>
        <v>36000000000000</v>
      </c>
      <c r="F27" s="4">
        <f>C27*(3600000/4.184)</f>
        <v>860420.6500956023</v>
      </c>
      <c r="G27" s="79">
        <f>C27*(3600000/4184)</f>
        <v>860.4206500956022</v>
      </c>
      <c r="H27" s="4">
        <f>C27*(3600000/(1.602177*10^-19))</f>
        <v>2.2469427535159974E+25</v>
      </c>
      <c r="I27" s="80">
        <f>C27*(3600000/1055.056)</f>
        <v>3412.141156488376</v>
      </c>
      <c r="J27" s="44"/>
      <c r="K27" s="81"/>
    </row>
    <row r="28" ht="12.75">
      <c r="K28" s="81"/>
    </row>
    <row r="29" ht="13.5" thickBot="1"/>
    <row r="30" spans="2:9" ht="13.5" thickBot="1">
      <c r="B30" s="115" t="s">
        <v>13</v>
      </c>
      <c r="C30" s="116"/>
      <c r="D30" s="116"/>
      <c r="E30" s="116"/>
      <c r="F30" s="116"/>
      <c r="G30" s="116"/>
      <c r="H30" s="116"/>
      <c r="I30" s="117"/>
    </row>
    <row r="31" spans="2:9" ht="12.75">
      <c r="B31" s="11"/>
      <c r="C31" s="12"/>
      <c r="D31" s="13" t="s">
        <v>9</v>
      </c>
      <c r="E31" s="13" t="s">
        <v>10</v>
      </c>
      <c r="F31" s="13" t="s">
        <v>11</v>
      </c>
      <c r="G31" s="13" t="s">
        <v>12</v>
      </c>
      <c r="H31" s="14" t="s">
        <v>14</v>
      </c>
      <c r="I31" s="15" t="s">
        <v>15</v>
      </c>
    </row>
    <row r="32" spans="2:9" ht="12.75">
      <c r="B32" s="8" t="s">
        <v>16</v>
      </c>
      <c r="C32" s="1">
        <v>1</v>
      </c>
      <c r="D32" s="32"/>
      <c r="E32" s="16">
        <f>C32/101325</f>
        <v>9.869232667160129E-06</v>
      </c>
      <c r="F32" s="82">
        <f>C32/100000</f>
        <v>1E-05</v>
      </c>
      <c r="G32" s="83">
        <f>C32*760/101325</f>
        <v>0.007500616827041697</v>
      </c>
      <c r="H32" s="16">
        <f>C32/(9.80665*10^3)</f>
        <v>0.00010197162129779283</v>
      </c>
      <c r="I32" s="17">
        <f>C32/(9.80665*10^4)</f>
        <v>1.0197162129779282E-05</v>
      </c>
    </row>
    <row r="33" spans="2:9" ht="12.75">
      <c r="B33" s="8" t="s">
        <v>10</v>
      </c>
      <c r="C33" s="1">
        <v>1</v>
      </c>
      <c r="D33" s="16">
        <f>C33*101325</f>
        <v>101325</v>
      </c>
      <c r="E33" s="32"/>
      <c r="F33" s="18">
        <f>C33*1.01325</f>
        <v>1.01325</v>
      </c>
      <c r="G33" s="16">
        <f>C33*760</f>
        <v>760</v>
      </c>
      <c r="H33" s="19">
        <f>C33*10.33</f>
        <v>10.33</v>
      </c>
      <c r="I33" s="20">
        <f>C33*1.033</f>
        <v>1.033</v>
      </c>
    </row>
    <row r="34" spans="2:9" ht="12.75">
      <c r="B34" s="8" t="s">
        <v>11</v>
      </c>
      <c r="C34" s="1">
        <v>1</v>
      </c>
      <c r="D34" s="16">
        <f>C34*100000</f>
        <v>100000</v>
      </c>
      <c r="E34" s="83">
        <f>C34/1.01325</f>
        <v>0.9869232667160128</v>
      </c>
      <c r="F34" s="32"/>
      <c r="G34" s="16">
        <f>C34*750</f>
        <v>750</v>
      </c>
      <c r="H34" s="21">
        <f>C34/0.0980665</f>
        <v>10.197162129779283</v>
      </c>
      <c r="I34" s="22">
        <f>C34/0.980665</f>
        <v>1.0197162129779282</v>
      </c>
    </row>
    <row r="35" spans="2:9" ht="12.75">
      <c r="B35" s="8" t="s">
        <v>12</v>
      </c>
      <c r="C35" s="1">
        <v>1</v>
      </c>
      <c r="D35" s="21">
        <f>C35*101325/760</f>
        <v>133.32236842105263</v>
      </c>
      <c r="E35" s="82">
        <f>C35/760</f>
        <v>0.0013157894736842105</v>
      </c>
      <c r="F35" s="85">
        <f>C35/750</f>
        <v>0.0013333333333333333</v>
      </c>
      <c r="G35" s="32"/>
      <c r="H35" s="21">
        <f>C35/(9806.65*0.0075)</f>
        <v>0.013596216173039043</v>
      </c>
      <c r="I35" s="87">
        <f>C35/(9806.65*0.075)</f>
        <v>0.0013596216173039043</v>
      </c>
    </row>
    <row r="36" spans="2:9" ht="12.75">
      <c r="B36" s="8" t="s">
        <v>14</v>
      </c>
      <c r="C36" s="1">
        <v>1</v>
      </c>
      <c r="D36" s="16">
        <f>C36*(9.80665*10^3)</f>
        <v>9806.65</v>
      </c>
      <c r="E36" s="83">
        <f>C36/10.33</f>
        <v>0.0968054211035818</v>
      </c>
      <c r="F36" s="23">
        <f>C36*0.0980665</f>
        <v>0.0980665</v>
      </c>
      <c r="G36" s="21">
        <f>C36*9806.65*0.0075</f>
        <v>73.549875</v>
      </c>
      <c r="H36" s="32"/>
      <c r="I36" s="22">
        <f>C36/10</f>
        <v>0.1</v>
      </c>
    </row>
    <row r="37" spans="2:9" ht="13.5" thickBot="1">
      <c r="B37" s="9" t="s">
        <v>15</v>
      </c>
      <c r="C37" s="3">
        <v>1</v>
      </c>
      <c r="D37" s="24">
        <f>C37*9.80665*10^4</f>
        <v>98066.5</v>
      </c>
      <c r="E37" s="84">
        <f>C37/1.033</f>
        <v>0.9680542110358181</v>
      </c>
      <c r="F37" s="25">
        <f>C37*0.980665</f>
        <v>0.980665</v>
      </c>
      <c r="G37" s="86">
        <f>C37*9806.65*0.075</f>
        <v>735.49875</v>
      </c>
      <c r="H37" s="24">
        <f>C37*10</f>
        <v>10</v>
      </c>
      <c r="I37" s="33"/>
    </row>
    <row r="39" ht="13.5" thickBot="1">
      <c r="C39" s="10"/>
    </row>
    <row r="40" spans="2:7" ht="13.5" thickBot="1">
      <c r="B40" s="112" t="s">
        <v>17</v>
      </c>
      <c r="C40" s="113"/>
      <c r="D40" s="113"/>
      <c r="E40" s="113"/>
      <c r="F40" s="113"/>
      <c r="G40" s="114"/>
    </row>
    <row r="41" spans="2:7" ht="12.75">
      <c r="B41" s="11"/>
      <c r="C41" s="12"/>
      <c r="D41" s="12" t="s">
        <v>18</v>
      </c>
      <c r="E41" s="12" t="s">
        <v>19</v>
      </c>
      <c r="F41" s="12" t="s">
        <v>21</v>
      </c>
      <c r="G41" s="31" t="s">
        <v>20</v>
      </c>
    </row>
    <row r="42" spans="2:7" ht="12.75">
      <c r="B42" s="8" t="s">
        <v>18</v>
      </c>
      <c r="C42" s="1">
        <v>1</v>
      </c>
      <c r="D42" s="36"/>
      <c r="E42" s="29">
        <f>C42-273.15</f>
        <v>-272.15</v>
      </c>
      <c r="F42" s="29">
        <f>(C42*9/5)-459.67</f>
        <v>-457.87</v>
      </c>
      <c r="G42" s="38">
        <f>(C42-273.15)*4/5</f>
        <v>-217.71999999999997</v>
      </c>
    </row>
    <row r="43" spans="2:7" ht="12.75">
      <c r="B43" s="8" t="s">
        <v>19</v>
      </c>
      <c r="C43" s="1">
        <v>1</v>
      </c>
      <c r="D43" s="29">
        <f>C43+273.15</f>
        <v>274.15</v>
      </c>
      <c r="E43" s="36"/>
      <c r="F43" s="29">
        <f>(C43*9/5)+32</f>
        <v>33.8</v>
      </c>
      <c r="G43" s="38">
        <f>C43*4/5</f>
        <v>0.8</v>
      </c>
    </row>
    <row r="44" spans="2:7" ht="12.75">
      <c r="B44" s="8" t="s">
        <v>21</v>
      </c>
      <c r="C44" s="1">
        <v>1</v>
      </c>
      <c r="D44" s="29">
        <f>(C44+459.67)*5/9</f>
        <v>255.92777777777778</v>
      </c>
      <c r="E44" s="29">
        <f>(C43-32)*5/9</f>
        <v>-17.22222222222222</v>
      </c>
      <c r="F44" s="36"/>
      <c r="G44" s="40">
        <f>(C44*9/4)+32</f>
        <v>34.25</v>
      </c>
    </row>
    <row r="45" spans="2:11" ht="13.5" thickBot="1">
      <c r="B45" s="9" t="s">
        <v>20</v>
      </c>
      <c r="C45" s="3">
        <v>1</v>
      </c>
      <c r="D45" s="30">
        <f>(C45*5/4)+273.15</f>
        <v>274.4</v>
      </c>
      <c r="E45" s="30">
        <f>C45*5/4</f>
        <v>1.25</v>
      </c>
      <c r="F45" s="39">
        <f>(C45-32)*4/9</f>
        <v>-13.777777777777779</v>
      </c>
      <c r="G45" s="37"/>
      <c r="J45" s="63"/>
      <c r="K45" s="63"/>
    </row>
    <row r="46" spans="10:11" ht="12.75">
      <c r="J46" s="63"/>
      <c r="K46" s="63"/>
    </row>
    <row r="47" ht="13.5" thickBot="1"/>
    <row r="48" spans="2:7" ht="13.5" thickBot="1">
      <c r="B48" s="112" t="s">
        <v>24</v>
      </c>
      <c r="C48" s="113"/>
      <c r="D48" s="113"/>
      <c r="E48" s="113"/>
      <c r="F48" s="113"/>
      <c r="G48" s="114"/>
    </row>
    <row r="49" spans="2:7" ht="12.75">
      <c r="B49" s="11"/>
      <c r="C49" s="12"/>
      <c r="D49" s="14" t="s">
        <v>25</v>
      </c>
      <c r="E49" s="14" t="s">
        <v>26</v>
      </c>
      <c r="F49" s="14" t="s">
        <v>27</v>
      </c>
      <c r="G49" s="15" t="s">
        <v>28</v>
      </c>
    </row>
    <row r="50" spans="2:7" ht="12.75">
      <c r="B50" s="8" t="s">
        <v>25</v>
      </c>
      <c r="C50" s="1">
        <v>1</v>
      </c>
      <c r="D50" s="45"/>
      <c r="E50" s="29">
        <f>C50/3.6</f>
        <v>0.2777777777777778</v>
      </c>
      <c r="F50" s="29">
        <f>C50/1.61</f>
        <v>0.6211180124223602</v>
      </c>
      <c r="G50" s="40">
        <f>C50/1.1</f>
        <v>0.9090909090909091</v>
      </c>
    </row>
    <row r="51" spans="2:7" ht="12.75">
      <c r="B51" s="8" t="s">
        <v>26</v>
      </c>
      <c r="C51" s="1">
        <v>1</v>
      </c>
      <c r="D51" s="29">
        <f>C51*3.6</f>
        <v>3.6</v>
      </c>
      <c r="E51" s="45"/>
      <c r="F51" s="29">
        <f>C51/0.447</f>
        <v>2.237136465324385</v>
      </c>
      <c r="G51" s="40">
        <f>C51/0.3048</f>
        <v>3.280839895013123</v>
      </c>
    </row>
    <row r="52" spans="2:7" ht="12.75">
      <c r="B52" s="8" t="s">
        <v>27</v>
      </c>
      <c r="C52" s="1">
        <v>1</v>
      </c>
      <c r="D52" s="29">
        <f>C52*1.61</f>
        <v>1.61</v>
      </c>
      <c r="E52" s="29">
        <f>C52*0.447</f>
        <v>0.447</v>
      </c>
      <c r="F52" s="45"/>
      <c r="G52" s="40">
        <f>C52/0.682</f>
        <v>1.4662756598240467</v>
      </c>
    </row>
    <row r="53" spans="2:7" ht="13.5" thickBot="1">
      <c r="B53" s="9" t="s">
        <v>28</v>
      </c>
      <c r="C53" s="3">
        <v>1</v>
      </c>
      <c r="D53" s="30">
        <f>C53*1.1</f>
        <v>1.1</v>
      </c>
      <c r="E53" s="30">
        <f>C53*0.3048</f>
        <v>0.3048</v>
      </c>
      <c r="F53" s="39">
        <f>C53*0.682</f>
        <v>0.682</v>
      </c>
      <c r="G53" s="37"/>
    </row>
    <row r="54" spans="2:7" ht="12.75">
      <c r="B54" s="27"/>
      <c r="C54" s="27"/>
      <c r="D54" s="58"/>
      <c r="E54" s="58"/>
      <c r="F54" s="59"/>
      <c r="G54" s="58"/>
    </row>
    <row r="55" ht="13.5" thickBot="1"/>
    <row r="56" spans="2:7" ht="13.5" thickBot="1">
      <c r="B56" s="112" t="s">
        <v>33</v>
      </c>
      <c r="C56" s="113"/>
      <c r="D56" s="113"/>
      <c r="E56" s="113"/>
      <c r="F56" s="113"/>
      <c r="G56" s="114"/>
    </row>
    <row r="57" spans="2:7" ht="12.75">
      <c r="B57" s="11"/>
      <c r="C57" s="52"/>
      <c r="D57" s="14" t="s">
        <v>34</v>
      </c>
      <c r="E57" s="14" t="s">
        <v>35</v>
      </c>
      <c r="F57" s="14" t="s">
        <v>36</v>
      </c>
      <c r="G57" s="15" t="s">
        <v>37</v>
      </c>
    </row>
    <row r="58" spans="2:7" ht="12.75">
      <c r="B58" s="8" t="s">
        <v>34</v>
      </c>
      <c r="C58" s="1">
        <v>1</v>
      </c>
      <c r="D58" s="45"/>
      <c r="E58" s="29">
        <f>C58*1000</f>
        <v>1000</v>
      </c>
      <c r="F58" s="53">
        <f>C58*624.2977</f>
        <v>624.2977</v>
      </c>
      <c r="G58" s="55">
        <f>C58/0.0353</f>
        <v>28.328611898016998</v>
      </c>
    </row>
    <row r="59" spans="2:7" ht="12.75">
      <c r="B59" s="8" t="s">
        <v>35</v>
      </c>
      <c r="C59" s="1">
        <v>1</v>
      </c>
      <c r="D59" s="53">
        <f>C59/1000</f>
        <v>0.001</v>
      </c>
      <c r="E59" s="45"/>
      <c r="F59" s="53">
        <f>C59/1.6018</f>
        <v>0.6242976651267325</v>
      </c>
      <c r="G59" s="55">
        <f>C59/35.315</f>
        <v>0.02831657935721365</v>
      </c>
    </row>
    <row r="60" spans="2:7" ht="12.75">
      <c r="B60" s="8" t="s">
        <v>36</v>
      </c>
      <c r="C60" s="1">
        <v>1</v>
      </c>
      <c r="D60" s="53">
        <f>C60/624.2977</f>
        <v>0.001601799910523457</v>
      </c>
      <c r="E60" s="53">
        <f>C60*1.6018</f>
        <v>1.6018</v>
      </c>
      <c r="F60" s="45"/>
      <c r="G60" s="55">
        <f>C60/22.047</f>
        <v>0.04535764503106999</v>
      </c>
    </row>
    <row r="61" spans="2:7" ht="13.5" thickBot="1">
      <c r="B61" s="9" t="s">
        <v>37</v>
      </c>
      <c r="C61" s="3">
        <v>1</v>
      </c>
      <c r="D61" s="56">
        <f>C61*0.0353</f>
        <v>0.0353</v>
      </c>
      <c r="E61" s="54">
        <f>C61*35.315</f>
        <v>35.315</v>
      </c>
      <c r="F61" s="57">
        <f>C61*22.0471</f>
        <v>22.0471</v>
      </c>
      <c r="G61" s="37"/>
    </row>
    <row r="62" spans="2:6" ht="12.75">
      <c r="B62" s="26"/>
      <c r="C62" s="26"/>
      <c r="D62" s="26"/>
      <c r="E62" s="26"/>
      <c r="F62" s="26"/>
    </row>
    <row r="63" spans="2:8" ht="13.5" thickBot="1">
      <c r="B63" s="68"/>
      <c r="C63" s="68"/>
      <c r="D63" s="68"/>
      <c r="E63" s="68"/>
      <c r="F63" s="63"/>
      <c r="G63" s="63"/>
      <c r="H63" s="27"/>
    </row>
    <row r="64" spans="2:8" ht="13.5" thickBot="1">
      <c r="B64" s="124" t="s">
        <v>40</v>
      </c>
      <c r="C64" s="125"/>
      <c r="D64" s="125"/>
      <c r="E64" s="126"/>
      <c r="F64" s="63"/>
      <c r="G64" s="63"/>
      <c r="H64" s="27"/>
    </row>
    <row r="65" spans="2:8" ht="12.75">
      <c r="B65" s="11"/>
      <c r="C65" s="12"/>
      <c r="D65" s="14" t="s">
        <v>41</v>
      </c>
      <c r="E65" s="65" t="s">
        <v>42</v>
      </c>
      <c r="F65" s="27"/>
      <c r="G65" s="27"/>
      <c r="H65" s="27"/>
    </row>
    <row r="66" spans="2:8" ht="12.75">
      <c r="B66" s="8" t="s">
        <v>38</v>
      </c>
      <c r="C66" s="1">
        <v>1</v>
      </c>
      <c r="D66" s="45"/>
      <c r="E66" s="67">
        <f>C66*10</f>
        <v>10</v>
      </c>
      <c r="F66" s="60"/>
      <c r="G66" s="61"/>
      <c r="H66" s="27"/>
    </row>
    <row r="67" spans="2:8" ht="13.5" thickBot="1">
      <c r="B67" s="64" t="s">
        <v>39</v>
      </c>
      <c r="C67" s="3">
        <v>1</v>
      </c>
      <c r="D67" s="30">
        <f>C67/10</f>
        <v>0.1</v>
      </c>
      <c r="E67" s="66"/>
      <c r="F67" s="60"/>
      <c r="G67" s="61"/>
      <c r="H67" s="27"/>
    </row>
    <row r="68" spans="2:8" ht="12.75">
      <c r="B68" s="27"/>
      <c r="C68" s="27"/>
      <c r="D68" s="60"/>
      <c r="E68" s="60"/>
      <c r="F68" s="59"/>
      <c r="G68" s="61"/>
      <c r="H68" s="27"/>
    </row>
    <row r="69" spans="2:7" ht="13.5" thickBot="1">
      <c r="B69" s="27"/>
      <c r="C69" s="27"/>
      <c r="D69" s="60"/>
      <c r="E69" s="62"/>
      <c r="F69" s="61"/>
      <c r="G69" s="58"/>
    </row>
    <row r="70" spans="2:7" ht="13.5" thickBot="1">
      <c r="B70" s="109" t="s">
        <v>45</v>
      </c>
      <c r="C70" s="110"/>
      <c r="D70" s="110"/>
      <c r="E70" s="110"/>
      <c r="F70" s="111"/>
      <c r="G70" s="27"/>
    </row>
    <row r="71" spans="2:6" ht="12.75">
      <c r="B71" s="11"/>
      <c r="C71" s="12"/>
      <c r="D71" s="14" t="s">
        <v>46</v>
      </c>
      <c r="E71" s="69" t="s">
        <v>47</v>
      </c>
      <c r="F71" s="70" t="s">
        <v>48</v>
      </c>
    </row>
    <row r="72" spans="2:6" ht="12.75">
      <c r="B72" s="8" t="s">
        <v>46</v>
      </c>
      <c r="C72" s="1">
        <v>1</v>
      </c>
      <c r="D72" s="45"/>
      <c r="E72" s="73">
        <f>C72/(3600*0.45349)</f>
        <v>0.0006125334136977172</v>
      </c>
      <c r="F72" s="38">
        <f>C72/3600</f>
        <v>0.0002777777777777778</v>
      </c>
    </row>
    <row r="73" spans="2:6" ht="12.75">
      <c r="B73" s="71" t="s">
        <v>47</v>
      </c>
      <c r="C73" s="1">
        <v>1</v>
      </c>
      <c r="D73" s="29">
        <f>C73*3600*0.45349</f>
        <v>1632.564</v>
      </c>
      <c r="E73" s="45"/>
      <c r="F73" s="74">
        <f>C73*0.45349</f>
        <v>0.45349</v>
      </c>
    </row>
    <row r="74" spans="2:6" ht="13.5" thickBot="1">
      <c r="B74" s="64" t="s">
        <v>48</v>
      </c>
      <c r="C74" s="3">
        <v>1</v>
      </c>
      <c r="D74" s="30">
        <f>C74*3600</f>
        <v>3600</v>
      </c>
      <c r="E74" s="72">
        <f>C74/0.45349</f>
        <v>2.205120289311782</v>
      </c>
      <c r="F74" s="44"/>
    </row>
  </sheetData>
  <mergeCells count="17">
    <mergeCell ref="B8:D8"/>
    <mergeCell ref="B56:G56"/>
    <mergeCell ref="B64:E64"/>
    <mergeCell ref="B4:D4"/>
    <mergeCell ref="B5:D5"/>
    <mergeCell ref="B6:D6"/>
    <mergeCell ref="B7:D7"/>
    <mergeCell ref="I3:L3"/>
    <mergeCell ref="I4:L10"/>
    <mergeCell ref="I11:L14"/>
    <mergeCell ref="B70:F70"/>
    <mergeCell ref="B48:G48"/>
    <mergeCell ref="B11:G11"/>
    <mergeCell ref="B30:I30"/>
    <mergeCell ref="B40:G40"/>
    <mergeCell ref="B19:J19"/>
    <mergeCell ref="B3:D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Matteo/Jerlo/Bicchio/Michael/Mirya UNIPR</dc:creator>
  <cp:keywords/>
  <dc:description/>
  <cp:lastModifiedBy>Matteo</cp:lastModifiedBy>
  <dcterms:created xsi:type="dcterms:W3CDTF">1996-11-05T10:16:36Z</dcterms:created>
  <dcterms:modified xsi:type="dcterms:W3CDTF">2006-11-24T18:30:41Z</dcterms:modified>
  <cp:category/>
  <cp:version/>
  <cp:contentType/>
  <cp:contentStatus/>
</cp:coreProperties>
</file>