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4"/>
    <sheet state="visible" name="Solution" sheetId="2" r:id="rId5"/>
  </sheets>
  <definedNames>
    <definedName name="dd">Solution!$H$39</definedName>
    <definedName name="Lw1v">Solution!$E$39</definedName>
    <definedName name="QQ">Solution!$B$47</definedName>
    <definedName name="Vol">Solution!$B$44</definedName>
    <definedName name="Lw_1">Solution!$D$41</definedName>
    <definedName name="Q">Solution!$B$36</definedName>
    <definedName name="V">Solution!$K$39</definedName>
    <definedName name="Atot">Solution!$E$44</definedName>
    <definedName name="N">Solution!$B$39</definedName>
    <definedName name="d">Solution!$E$33</definedName>
    <definedName name="a">Solution!$C$40</definedName>
    <definedName name="Lw">Solution!$B$33</definedName>
  </definedNames>
  <calcPr/>
</workbook>
</file>

<file path=xl/sharedStrings.xml><?xml version="1.0" encoding="utf-8"?>
<sst xmlns="http://schemas.openxmlformats.org/spreadsheetml/2006/main" count="270" uniqueCount="173">
  <si>
    <t>N.</t>
  </si>
  <si>
    <t>Timestamp</t>
  </si>
  <si>
    <t>Email address</t>
  </si>
  <si>
    <t>Surname and Name</t>
  </si>
  <si>
    <t>Matricula</t>
  </si>
  <si>
    <t>A</t>
  </si>
  <si>
    <t>B</t>
  </si>
  <si>
    <t>C</t>
  </si>
  <si>
    <t>D</t>
  </si>
  <si>
    <t>E</t>
  </si>
  <si>
    <t>F</t>
  </si>
  <si>
    <t>Online</t>
  </si>
  <si>
    <t>1) Check the sentences you think are TRUE</t>
  </si>
  <si>
    <t>2)   Check only the CORRECT definitions</t>
  </si>
  <si>
    <t>3)   The reverberation time in a room is reduced from 4 s to 1 s thanks to installation of absorbing panels under the ceiling. What is the reduction of the SPL of the reverberant field?</t>
  </si>
  <si>
    <t>Score</t>
  </si>
  <si>
    <t>4) Compute the SPL generated by an omnidirectional point source with a power level Lw=100+F dB at a receiver located at a distance of 50+E m, in free field</t>
  </si>
  <si>
    <t>OK Value</t>
  </si>
  <si>
    <t>OK unit</t>
  </si>
  <si>
    <t>5)  Repeat the calculation when the source is placed over a reflecting plane</t>
  </si>
  <si>
    <t xml:space="preserve">6) Compute the SPL produced by a road with a traffic flow of 2000+F*100 vehicles/h, with a power level of each vehicle of 85+E dB(A) and at a receiver located at 50+D*5 m from the road axis
 </t>
  </si>
  <si>
    <t>7) Compute the reverberation time in a room having a volume of 300+F*20 m³, and an equivalent absorption area A=a·S= 50+E m²</t>
  </si>
  <si>
    <t xml:space="preserve">8)  Compute the critical distance in the previous exercise, knowing the directivity of the sound source Q = 3+F/2        </t>
  </si>
  <si>
    <t>TOTAL</t>
  </si>
  <si>
    <t>violettegobert79@gmail.com</t>
  </si>
  <si>
    <t>Gobert Violette</t>
  </si>
  <si>
    <t>In a free spherical sound field the SPL decreases by 6 dB at each doubling of the source-receiver distance, In a free cylindrical sound field the SPL decreases by 3 dB at each doubling of the source-receiver distance, When the traffic flow along a road doubles, the SPL at the receiver increases by 3 dB, When the speed of vehicles doubles, with constant power level, the SPL at the receiver decreases by 3 dB</t>
  </si>
  <si>
    <t>The reflection coefficient of a wall r is the ratio between reflected power and incident power, The absorption coefficient of a wall a is the ratio between absorbed power and incident power, The apparent sound absorption coeff. of a wall α is the sum of the absorption and transmission coefficients (α=a+t), which also means 1-r, The transmission coefficient of a wall t is the ratio between power transmitted through the wall and incident power</t>
  </si>
  <si>
    <t>6 dB</t>
  </si>
  <si>
    <t>60.35 dB</t>
  </si>
  <si>
    <t>dB</t>
  </si>
  <si>
    <t>63.36 dB</t>
  </si>
  <si>
    <t>50.62 dB(A)</t>
  </si>
  <si>
    <t>dB(A)</t>
  </si>
  <si>
    <t>1.24 s</t>
  </si>
  <si>
    <t>s</t>
  </si>
  <si>
    <t>2.54 m</t>
  </si>
  <si>
    <t>m</t>
  </si>
  <si>
    <t>legrouxthibaut@gmail.com</t>
  </si>
  <si>
    <t>Thibaut Legroux</t>
  </si>
  <si>
    <t>In a free spherical sound field the SPL decreases by 6 dB at each doubling of the source-receiver distance, In a free cylindrical sound field the SPL decreases by 3 dB at each doubling of the source-receiver distance, When the speed of vehicles doubles, with constant power level, the SPL at the receiver increases by 3 dB</t>
  </si>
  <si>
    <t>The reflection coefficient of a wall r is the ratio between reflected power and incident power, The absorption coefficient of a wall a is the ratio between absorbed power and incident power, The apparent sound absorption coeff. of a wall α is the sum of the absorption and transmission coefficients (α=a+t), which also means 1-r</t>
  </si>
  <si>
    <t>54.85 dB(A)</t>
  </si>
  <si>
    <t>57.85 dB(A)</t>
  </si>
  <si>
    <t>56.1 dB(A)</t>
  </si>
  <si>
    <t>18.82 s</t>
  </si>
  <si>
    <t>1.23 m</t>
  </si>
  <si>
    <t>abdullah291298@gmail.com</t>
  </si>
  <si>
    <t>Abdullah MD</t>
  </si>
  <si>
    <t>In a free spherical sound field the SPL decreases by 3 dB at each doubling of the source-receiver distance, In a free cylindrical sound field the SPL decreases by 3 dB at each doubling of the source-receiver distance, When the speed of vehicles doubles, with constant power level, the SPL at the receiver increases by 3 dB</t>
  </si>
  <si>
    <t>The reflection coefficient of a wall r is the ratio between reflected power and incident power, The absorption coefficient of a wall a is the ratio between absorbed power and incident power, The transmission coefficient of a wall t is the ratio between power transmitted through the wall and incident power, The sum of α + t is always equal to 1 (α+t=1)</t>
  </si>
  <si>
    <t>71.19 dB</t>
  </si>
  <si>
    <t>71 dB</t>
  </si>
  <si>
    <t>64.26 dB</t>
  </si>
  <si>
    <t xml:space="preserve">2.09 second </t>
  </si>
  <si>
    <t>1.024 Meter</t>
  </si>
  <si>
    <t>mirko.monaco@studenti.unipr.it</t>
  </si>
  <si>
    <t>Monaco Mirko</t>
  </si>
  <si>
    <t>56.4 dB</t>
  </si>
  <si>
    <t>59.4 dB</t>
  </si>
  <si>
    <t>49.7 dB(A)</t>
  </si>
  <si>
    <t>1.007 s</t>
  </si>
  <si>
    <t>2.07 m</t>
  </si>
  <si>
    <t>prince.mathew@studenti.unipr.it</t>
  </si>
  <si>
    <t>Mathew Prince</t>
  </si>
  <si>
    <t>In a free spherical sound field the SPL decreases by 6 dB at each doubling of the source-receiver distance, When the traffic flow along a road doubles, the SPL at the receiver increases by 3 dB</t>
  </si>
  <si>
    <t>The reflection coefficient of a wall r is the ratio between reflected power and incident power, The absorption coefficient of a wall a is the ratio between absorbed power and incident power, The apparent sound absorption coeff. of a wall α is the ratio between absorbed power and incident power, The transmission coefficient of a wall t is the ratio between power transmitted through the wall and incident power, The sum of α + t is always equal to 1 (α+t=1)</t>
  </si>
  <si>
    <t>62.036 dB</t>
  </si>
  <si>
    <t>65.04 dB</t>
  </si>
  <si>
    <t>58.51 dB(A)</t>
  </si>
  <si>
    <t>1.31 s</t>
  </si>
  <si>
    <t>2.48 m</t>
  </si>
  <si>
    <t>mahdihabibi7798@gmail.com</t>
  </si>
  <si>
    <t>Habibi Mahdi</t>
  </si>
  <si>
    <t>The reflection coefficient of a wall r is the ratio between reflected power and incident power, The absorption coefficient of a wall a is the ratio between absorbed power and incident power, The apparent sound absorption coeff. of a wall α is the ratio between absorbed power and incident power, The sum of α + t is always equal to 1 (α+t=1)</t>
  </si>
  <si>
    <t>57.35 dB</t>
  </si>
  <si>
    <t>60.36 dB</t>
  </si>
  <si>
    <t>1.078 s</t>
  </si>
  <si>
    <t>0.34 m</t>
  </si>
  <si>
    <t>milann1134@gmail.com</t>
  </si>
  <si>
    <t>Hanna Milosta</t>
  </si>
  <si>
    <t>In a free spherical sound field the SPL decreases by 6 dB at each doubling of the source-receiver distance, In a free cylindrical sound field the SPL decreases by 3 dB at each doubling of the source-receiver distance, When the traffic flow along a road doubles, the SPL at the receiver increases by 6 dB, When the speed of vehicles doubles, with constant power level, the SPL at the receiver decreases by 3 dB</t>
  </si>
  <si>
    <t>The absorption coefficient of a wall a is the ratio between absorbed power and incident power, The transmission coefficient of a wall t is the ratio between power transmitted through the wall and incident power, The sum of α + t is always equal to 1 (α+t=1)</t>
  </si>
  <si>
    <t>10 dB</t>
  </si>
  <si>
    <t>57,03 dB</t>
  </si>
  <si>
    <t>60,04 dB</t>
  </si>
  <si>
    <t>96,55 dB</t>
  </si>
  <si>
    <t>1,73 s</t>
  </si>
  <si>
    <t>4,08 m</t>
  </si>
  <si>
    <t>francesco.mortali@studenti.unipr.it</t>
  </si>
  <si>
    <t>Mortali Francesco</t>
  </si>
  <si>
    <t>In a free spherical sound field the SPL decreases by 6 dB at each doubling of the source-receiver distance, In a free cylindrical sound field the SPL decreases by 3 dB at each doubling of the source-receiver distance, When the traffic flow along a road doubles, the SPL at the receiver increases by 6 dB</t>
  </si>
  <si>
    <t>57.51 dB</t>
  </si>
  <si>
    <t>60.53 dB</t>
  </si>
  <si>
    <t>109.09 dB(A)</t>
  </si>
  <si>
    <t>1.08 s</t>
  </si>
  <si>
    <t>2.18 m</t>
  </si>
  <si>
    <t>vinaysankar@outlook.com</t>
  </si>
  <si>
    <t>sankar vinay</t>
  </si>
  <si>
    <t>The reflection coefficient of a wall r is the ratio between reflected power and incident power, The apparent sound absorption coeff. of a wall α is the sum of the absorption and transmission coefficients (α=a+t), which also means 1-r, The transmission coefficient of a wall t is the ratio between power transmitted through the wall and incident power</t>
  </si>
  <si>
    <t>59dB</t>
  </si>
  <si>
    <t>62dB</t>
  </si>
  <si>
    <t>52.44 dBA</t>
  </si>
  <si>
    <t>1.14 S</t>
  </si>
  <si>
    <t>2.47 m</t>
  </si>
  <si>
    <t>andrea.ronga@studenti.unipr.it</t>
  </si>
  <si>
    <t>Ronga Andrea</t>
  </si>
  <si>
    <t>60 dB</t>
  </si>
  <si>
    <t>63 dB</t>
  </si>
  <si>
    <t>108.20 dB</t>
  </si>
  <si>
    <t>1.28 s</t>
  </si>
  <si>
    <t>2 m</t>
  </si>
  <si>
    <t>Note: formatting errors causing the loss of 1 point</t>
  </si>
  <si>
    <t>Wrong Formatting (spaces or slashes)</t>
  </si>
  <si>
    <t>Wrong Formatting (simbols before number or after unit)</t>
  </si>
  <si>
    <t>Wrong unit</t>
  </si>
  <si>
    <t>Note: Formatting errors not penalised (for this time)</t>
  </si>
  <si>
    <t>Comma instead of decimal dot, unit in extended format</t>
  </si>
  <si>
    <t>\</t>
  </si>
  <si>
    <t>In class test  - 23/10/2023</t>
  </si>
  <si>
    <r>
      <rPr>
        <rFont val="Calibri"/>
        <b/>
        <color theme="1"/>
        <sz val="11.0"/>
      </rPr>
      <t>1)</t>
    </r>
    <r>
      <rPr>
        <rFont val="Times New Roman"/>
        <b/>
        <color theme="1"/>
        <sz val="7.0"/>
      </rPr>
      <t xml:space="preserve">     </t>
    </r>
    <r>
      <rPr>
        <rFont val="Calibri"/>
        <b/>
        <color theme="1"/>
        <sz val="11.0"/>
      </rPr>
      <t>Check the sentences you think are TRUE</t>
    </r>
  </si>
  <si>
    <t>(multiple answers allowed)</t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</si>
  <si>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In a free spherical sound field the SPL decreases by 3 dB at each doubling of the source-receiver distance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</si>
  <si>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In a free spherical sound field the SPL decreases by 6 dB at each doubling of the source-receiver distance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</si>
  <si>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In a free cylindrical sound field the SPL decreases by 3 dB at each doubling of the source-receiver distance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</si>
  <si>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In a free cylindrical sound field the SPL decreases by 6 dB at each doubling of the source-receiver distance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</si>
  <si>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When the traffic flow along a road doubles, the SPL at the receiver increases by 3 dB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</si>
  <si>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When the traffic flow along a road doubles, the SPL at the receiver increases by 6 dB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</si>
  <si>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 xml:space="preserve">When the speed of vehicles doubles, </t>
    </r>
    <r>
      <rPr>
        <rFont val="Calibri"/>
        <b/>
        <color theme="1"/>
        <sz val="11.0"/>
      </rPr>
      <t>with constant power level</t>
    </r>
    <r>
      <rPr>
        <rFont val="Calibri"/>
        <color theme="1"/>
        <sz val="11.0"/>
      </rPr>
      <t>, the SPL at the receiver increases by 3 dB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</si>
  <si>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When the speed of vehicles doubles, with constant power level, the SPL at the receiver decreases by 3 dB</t>
    </r>
  </si>
  <si>
    <r>
      <rPr>
        <rFont val="Calibri"/>
        <b/>
        <color theme="1"/>
        <sz val="11.0"/>
      </rPr>
      <t>2)</t>
    </r>
    <r>
      <rPr>
        <rFont val="Times New Roman"/>
        <b/>
        <color theme="1"/>
        <sz val="7.0"/>
      </rPr>
      <t xml:space="preserve">     </t>
    </r>
    <r>
      <rPr>
        <rFont val="Calibri"/>
        <b/>
        <color theme="1"/>
        <sz val="11.0"/>
      </rPr>
      <t>Check only the CORRECT definitions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</si>
  <si>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The reflection coefficient of a wall r is the ratio between reflected power and incident power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</si>
  <si>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The absorption coefficient of a wall a is the ratio between absorbed power and incident power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</si>
  <si>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 xml:space="preserve">The apparent sound absorption coeff. of a wall </t>
    </r>
    <r>
      <rPr>
        <rFont val="Symbol"/>
        <color theme="1"/>
        <sz val="11.0"/>
      </rPr>
      <t>a</t>
    </r>
    <r>
      <rPr>
        <rFont val="Calibri"/>
        <color theme="1"/>
        <sz val="11.0"/>
      </rPr>
      <t xml:space="preserve"> is the ratio between absorbed power and incident power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</si>
  <si>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 xml:space="preserve">The apparent sound absorption coeff. of a wall </t>
    </r>
    <r>
      <rPr>
        <rFont val="Symbol"/>
        <color theme="1"/>
        <sz val="11.0"/>
      </rPr>
      <t>a</t>
    </r>
    <r>
      <rPr>
        <rFont val="Calibri"/>
        <color theme="1"/>
        <sz val="11.0"/>
      </rPr>
      <t xml:space="preserve"> is the sum of the absorption and transmission coefficients (</t>
    </r>
    <r>
      <rPr>
        <rFont val="Symbol"/>
        <color theme="1"/>
        <sz val="11.0"/>
      </rPr>
      <t>a</t>
    </r>
    <r>
      <rPr>
        <rFont val="Calibri"/>
        <color theme="1"/>
        <sz val="11.0"/>
      </rPr>
      <t>=a+t), which also means 1-r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</si>
  <si>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The transmission coefficient of a wall t is the ratio between power transmitted through the wall and incident power</t>
    </r>
  </si>
  <si>
    <r>
      <rPr>
        <rFont val="Noto Sans Symbols"/>
        <color theme="1"/>
        <sz val="11.0"/>
      </rPr>
      <t>¨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 xml:space="preserve">The sum of </t>
    </r>
    <r>
      <rPr>
        <rFont val="Symbol"/>
        <color theme="1"/>
        <sz val="11.0"/>
      </rPr>
      <t>a</t>
    </r>
    <r>
      <rPr>
        <rFont val="Calibri"/>
        <color theme="1"/>
        <sz val="11.0"/>
      </rPr>
      <t xml:space="preserve"> + t is always equal to 1 (</t>
    </r>
    <r>
      <rPr>
        <rFont val="Symbol"/>
        <color theme="1"/>
        <sz val="11.0"/>
      </rPr>
      <t>a</t>
    </r>
    <r>
      <rPr>
        <rFont val="Calibri"/>
        <color theme="1"/>
        <sz val="11.0"/>
      </rPr>
      <t>+t=1)</t>
    </r>
  </si>
  <si>
    <r>
      <rPr>
        <rFont val="Calibri"/>
        <b/>
        <color theme="1"/>
        <sz val="11.0"/>
      </rPr>
      <t>3)</t>
    </r>
    <r>
      <rPr>
        <rFont val="Times New Roman"/>
        <b/>
        <color theme="1"/>
        <sz val="7.0"/>
      </rPr>
      <t xml:space="preserve">     </t>
    </r>
    <r>
      <rPr>
        <rFont val="Calibri"/>
        <b/>
        <color theme="1"/>
        <sz val="11.0"/>
      </rPr>
      <t>The reverberation time in a room is reduced from 4 s to 1 s thanks to installation of absorbing panels under the ceiling. What is the reduction of the SPL of the reverberant field?</t>
    </r>
  </si>
  <si>
    <t>(a single answer)</t>
  </si>
  <si>
    <r>
      <rPr>
        <rFont val="Noto Sans Symbols"/>
        <color theme="1"/>
        <sz val="11.0"/>
      </rPr>
      <t>¡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0 dB</t>
    </r>
  </si>
  <si>
    <r>
      <rPr>
        <rFont val="Noto Sans Symbols"/>
        <color theme="1"/>
        <sz val="11.0"/>
      </rPr>
      <t>¡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3 dB</t>
    </r>
  </si>
  <si>
    <r>
      <rPr>
        <rFont val="Noto Sans Symbols"/>
        <color theme="1"/>
        <sz val="11.0"/>
      </rPr>
      <t>¡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6 dB</t>
    </r>
  </si>
  <si>
    <r>
      <rPr>
        <rFont val="Noto Sans Symbols"/>
        <color theme="1"/>
        <sz val="11.0"/>
      </rPr>
      <t>¡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10 dB</t>
    </r>
  </si>
  <si>
    <r>
      <rPr>
        <rFont val="Noto Sans Symbols"/>
        <color theme="1"/>
        <sz val="11.0"/>
      </rPr>
      <t>¡</t>
    </r>
    <r>
      <rPr>
        <rFont val="Times New Roman"/>
        <color theme="1"/>
        <sz val="7.0"/>
      </rPr>
      <t xml:space="preserve">  </t>
    </r>
    <r>
      <rPr>
        <rFont val="Calibri"/>
        <color theme="1"/>
        <sz val="11.0"/>
      </rPr>
      <t>20 dB</t>
    </r>
  </si>
  <si>
    <r>
      <rPr>
        <rFont val="Calibri"/>
        <b/>
        <color theme="1"/>
        <sz val="11.0"/>
      </rPr>
      <t>4)</t>
    </r>
    <r>
      <rPr>
        <rFont val="Times New Roman"/>
        <b/>
        <color theme="1"/>
        <sz val="7.0"/>
      </rPr>
      <t xml:space="preserve">     </t>
    </r>
    <r>
      <rPr>
        <rFont val="Calibri"/>
        <b/>
        <color theme="1"/>
        <sz val="11.0"/>
      </rPr>
      <t>Compute the SPL generated by an omnidirectional point source with a power level Lw=100+F dB at a receiver located at a distance of 50+E m, in free field</t>
    </r>
  </si>
  <si>
    <t>(write number and measurement unit)</t>
  </si>
  <si>
    <t>Lw =</t>
  </si>
  <si>
    <t>d =</t>
  </si>
  <si>
    <t>SPL = Lw -11 -20*log10(d) =</t>
  </si>
  <si>
    <r>
      <rPr>
        <rFont val="Calibri"/>
        <b/>
        <color theme="1"/>
        <sz val="11.0"/>
      </rPr>
      <t>5)</t>
    </r>
    <r>
      <rPr>
        <rFont val="Times New Roman"/>
        <b/>
        <color theme="1"/>
        <sz val="7.0"/>
      </rPr>
      <t xml:space="preserve">     </t>
    </r>
    <r>
      <rPr>
        <rFont val="Calibri"/>
        <b/>
        <color theme="1"/>
        <sz val="11.0"/>
      </rPr>
      <t>Repeat the calculation when the source is placed over a reflecting plane</t>
    </r>
  </si>
  <si>
    <t>Q =</t>
  </si>
  <si>
    <t>SPL = Lw -11 -20*log10(d) + 10*log10(Q) =</t>
  </si>
  <si>
    <t>6) Compute the SPL produced by a road with a traffic flow of 2000+F*100 vehicles/h, with a power level of each vehicle of 85+E dB(A) and at a receiver located at 50+D*5 m from the road axis</t>
  </si>
  <si>
    <t>N =</t>
  </si>
  <si>
    <t>veic/h</t>
  </si>
  <si>
    <t>Lw1v =</t>
  </si>
  <si>
    <t xml:space="preserve">dd = </t>
  </si>
  <si>
    <t>V =</t>
  </si>
  <si>
    <t>km/h</t>
  </si>
  <si>
    <t>a = V/N*1000 =</t>
  </si>
  <si>
    <t>Lw' = Lw1v -10*log10(a)  =</t>
  </si>
  <si>
    <t>dB(A)/m</t>
  </si>
  <si>
    <t>SPL = Lw' - 6 -10*log10(dd) =</t>
  </si>
  <si>
    <t xml:space="preserve"> </t>
  </si>
  <si>
    <r>
      <rPr>
        <rFont val="Calibri"/>
        <b/>
        <color theme="1"/>
        <sz val="11.0"/>
      </rPr>
      <t>7)</t>
    </r>
    <r>
      <rPr>
        <rFont val="Times New Roman"/>
        <b/>
        <color theme="1"/>
        <sz val="7.0"/>
      </rPr>
      <t xml:space="preserve">     </t>
    </r>
    <r>
      <rPr>
        <rFont val="Calibri"/>
        <b/>
        <color theme="1"/>
        <sz val="11.0"/>
      </rPr>
      <t>Compute the reverberation time in a room having a volume of 300+F*20 m</t>
    </r>
    <r>
      <rPr>
        <rFont val="Arial"/>
        <b/>
        <color theme="1"/>
        <sz val="11.0"/>
      </rPr>
      <t>³</t>
    </r>
    <r>
      <rPr>
        <rFont val="Calibri"/>
        <b/>
        <color theme="1"/>
        <sz val="11.0"/>
      </rPr>
      <t>, and an equivalent absorption area A=</t>
    </r>
    <r>
      <rPr>
        <rFont val="Symbol"/>
        <b/>
        <color theme="1"/>
        <sz val="11.0"/>
      </rPr>
      <t>a</t>
    </r>
    <r>
      <rPr>
        <rFont val="Arial"/>
        <b/>
        <color theme="1"/>
        <sz val="11.0"/>
      </rPr>
      <t>·</t>
    </r>
    <r>
      <rPr>
        <rFont val="Calibri"/>
        <b/>
        <color theme="1"/>
        <sz val="11.0"/>
      </rPr>
      <t>S= 50+E m</t>
    </r>
    <r>
      <rPr>
        <rFont val="Arial"/>
        <b/>
        <color theme="1"/>
        <sz val="11.0"/>
      </rPr>
      <t>²</t>
    </r>
    <r>
      <rPr>
        <rFont val="Calibri"/>
        <b/>
        <color theme="1"/>
        <sz val="11.0"/>
      </rPr>
      <t xml:space="preserve"> </t>
    </r>
  </si>
  <si>
    <t>Vol =</t>
  </si>
  <si>
    <t>m3</t>
  </si>
  <si>
    <t>Atot =</t>
  </si>
  <si>
    <t>m2</t>
  </si>
  <si>
    <t>T60 = 0.16*Vol/Atot =</t>
  </si>
  <si>
    <r>
      <rPr>
        <rFont val="Calibri"/>
        <b/>
        <color theme="1"/>
        <sz val="11.0"/>
      </rPr>
      <t>8)</t>
    </r>
    <r>
      <rPr>
        <rFont val="Times New Roman"/>
        <b/>
        <color theme="1"/>
        <sz val="7.0"/>
      </rPr>
      <t xml:space="preserve">     </t>
    </r>
    <r>
      <rPr>
        <rFont val="Calibri"/>
        <b/>
        <color theme="1"/>
        <sz val="11.0"/>
      </rPr>
      <t>Compute the critical distance in the previous exercise, knowing the directivity of the sound source Q = 3+F/2</t>
    </r>
  </si>
  <si>
    <t>QQ =</t>
  </si>
  <si>
    <t>dcr =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</si>
</sst>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\ h:mm:ss"/>
    <numFmt numFmtId="165" formatCode="0.0"/>
  </numFmts>
  <fonts count="12">
    <font>
      <sz val="11.0"/>
      <color theme="1"/>
      <name val="Calibri"/>
      <scheme val="minor"/>
    </font>
    <font>
      <sz val="10.0"/>
      <color theme="1"/>
      <name val="Calibri"/>
    </font>
    <font>
      <sz val="10.0"/>
      <color rgb="FF0000FF"/>
      <name val="Arial"/>
    </font>
    <font>
      <sz val="11.0"/>
      <color theme="1"/>
      <name val="Calibri"/>
    </font>
    <font>
      <b/>
      <sz val="11.0"/>
      <color theme="1"/>
      <name val="Calibri"/>
    </font>
    <font>
      <sz val="10.0"/>
      <color rgb="FF000000"/>
      <name val="Calibri"/>
    </font>
    <font>
      <sz val="10.0"/>
      <color theme="1"/>
      <name val="Arial"/>
    </font>
    <font>
      <b/>
      <sz val="10.0"/>
      <color rgb="FF000000"/>
      <name val="Calibri"/>
    </font>
    <font>
      <color theme="1"/>
      <name val="Calibri"/>
      <scheme val="minor"/>
    </font>
    <font>
      <sz val="11.0"/>
      <color theme="1"/>
      <name val="Noto Sans Symbols"/>
    </font>
    <font>
      <b/>
      <sz val="5.0"/>
      <color theme="1"/>
      <name val="Calibri"/>
    </font>
    <font>
      <sz val="5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C00000"/>
        <bgColor rgb="FFC0000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19">
    <border/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2" fontId="1" numFmtId="0" xfId="0" applyAlignment="1" applyBorder="1" applyFont="1">
      <alignment horizontal="left"/>
    </xf>
    <xf borderId="2" fillId="3" fontId="2" numFmtId="0" xfId="0" applyAlignment="1" applyBorder="1" applyFill="1" applyFont="1">
      <alignment horizontal="center" shrinkToFit="0" wrapText="1"/>
    </xf>
    <xf borderId="2" fillId="2" fontId="1" numFmtId="0" xfId="0" applyAlignment="1" applyBorder="1" applyFont="1">
      <alignment horizontal="center"/>
    </xf>
    <xf borderId="2" fillId="2" fontId="3" numFmtId="0" xfId="0" applyAlignment="1" applyBorder="1" applyFont="1">
      <alignment horizontal="right"/>
    </xf>
    <xf borderId="2" fillId="2" fontId="3" numFmtId="0" xfId="0" applyBorder="1" applyFont="1"/>
    <xf borderId="2" fillId="2" fontId="3" numFmtId="0" xfId="0" applyAlignment="1" applyBorder="1" applyFont="1">
      <alignment horizontal="center"/>
    </xf>
    <xf borderId="3" fillId="2" fontId="4" numFmtId="0" xfId="0" applyAlignment="1" applyBorder="1" applyFont="1">
      <alignment horizontal="center"/>
    </xf>
    <xf borderId="4" fillId="0" fontId="5" numFmtId="0" xfId="0" applyAlignment="1" applyBorder="1" applyFont="1">
      <alignment horizontal="center"/>
    </xf>
    <xf borderId="5" fillId="0" fontId="1" numFmtId="164" xfId="0" applyBorder="1" applyFont="1" applyNumberFormat="1"/>
    <xf borderId="5" fillId="0" fontId="1" numFmtId="0" xfId="0" applyBorder="1" applyFont="1"/>
    <xf borderId="5" fillId="0" fontId="1" numFmtId="0" xfId="0" applyAlignment="1" applyBorder="1" applyFont="1">
      <alignment horizontal="center"/>
    </xf>
    <xf borderId="5" fillId="0" fontId="6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5" fillId="0" fontId="3" numFmtId="2" xfId="0" applyBorder="1" applyFont="1" applyNumberFormat="1"/>
    <xf borderId="5" fillId="0" fontId="5" numFmtId="0" xfId="0" applyBorder="1" applyFont="1"/>
    <xf borderId="6" fillId="0" fontId="7" numFmtId="0" xfId="0" applyAlignment="1" applyBorder="1" applyFont="1">
      <alignment horizontal="center"/>
    </xf>
    <xf borderId="5" fillId="4" fontId="1" numFmtId="0" xfId="0" applyBorder="1" applyFill="1" applyFont="1"/>
    <xf borderId="5" fillId="5" fontId="1" numFmtId="0" xfId="0" applyBorder="1" applyFill="1" applyFont="1"/>
    <xf borderId="5" fillId="6" fontId="1" numFmtId="0" xfId="0" applyBorder="1" applyFill="1" applyFont="1"/>
    <xf borderId="7" fillId="0" fontId="5" numFmtId="0" xfId="0" applyAlignment="1" applyBorder="1" applyFont="1">
      <alignment horizontal="center"/>
    </xf>
    <xf borderId="8" fillId="0" fontId="1" numFmtId="164" xfId="0" applyBorder="1" applyFont="1" applyNumberFormat="1"/>
    <xf borderId="8" fillId="0" fontId="1" numFmtId="0" xfId="0" applyBorder="1" applyFont="1"/>
    <xf borderId="8" fillId="0" fontId="1" numFmtId="0" xfId="0" applyAlignment="1" applyBorder="1" applyFont="1">
      <alignment horizontal="center"/>
    </xf>
    <xf borderId="8" fillId="0" fontId="6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8" fillId="0" fontId="3" numFmtId="2" xfId="0" applyBorder="1" applyFont="1" applyNumberFormat="1"/>
    <xf borderId="8" fillId="0" fontId="5" numFmtId="0" xfId="0" applyBorder="1" applyFont="1"/>
    <xf borderId="8" fillId="4" fontId="1" numFmtId="0" xfId="0" applyBorder="1" applyFont="1"/>
    <xf borderId="9" fillId="0" fontId="7" numFmtId="0" xfId="0" applyAlignment="1" applyBorder="1" applyFont="1">
      <alignment horizontal="center"/>
    </xf>
    <xf borderId="0" fillId="0" fontId="5" numFmtId="0" xfId="0" applyFont="1"/>
    <xf borderId="0" fillId="0" fontId="7" numFmtId="0" xfId="0" applyFont="1"/>
    <xf borderId="0" fillId="0" fontId="5" numFmtId="2" xfId="0" applyFont="1" applyNumberFormat="1"/>
    <xf borderId="10" fillId="6" fontId="5" numFmtId="0" xfId="0" applyBorder="1" applyFont="1"/>
    <xf borderId="10" fillId="6" fontId="3" numFmtId="0" xfId="0" applyBorder="1" applyFont="1"/>
    <xf borderId="10" fillId="7" fontId="5" numFmtId="0" xfId="0" applyBorder="1" applyFill="1" applyFont="1"/>
    <xf borderId="10" fillId="7" fontId="3" numFmtId="0" xfId="0" applyBorder="1" applyFont="1"/>
    <xf borderId="10" fillId="4" fontId="5" numFmtId="0" xfId="0" applyBorder="1" applyFont="1"/>
    <xf borderId="10" fillId="4" fontId="3" numFmtId="0" xfId="0" applyBorder="1" applyFont="1"/>
    <xf borderId="10" fillId="5" fontId="5" numFmtId="0" xfId="0" applyBorder="1" applyFont="1"/>
    <xf borderId="0" fillId="0" fontId="4" numFmtId="0" xfId="0" applyFont="1"/>
    <xf borderId="0" fillId="0" fontId="8" numFmtId="0" xfId="0" applyFont="1"/>
    <xf borderId="11" fillId="0" fontId="3" numFmtId="0" xfId="0" applyAlignment="1" applyBorder="1" applyFont="1">
      <alignment horizontal="center"/>
    </xf>
    <xf borderId="12" fillId="0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14" fillId="0" fontId="3" numFmtId="0" xfId="0" applyAlignment="1" applyBorder="1" applyFont="1">
      <alignment horizontal="center"/>
    </xf>
    <xf borderId="15" fillId="0" fontId="3" numFmtId="0" xfId="0" applyAlignment="1" applyBorder="1" applyFont="1">
      <alignment horizontal="center"/>
    </xf>
    <xf borderId="16" fillId="0" fontId="3" numFmtId="0" xfId="0" applyAlignment="1" applyBorder="1" applyFont="1">
      <alignment horizontal="center"/>
    </xf>
    <xf borderId="0" fillId="0" fontId="4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9" numFmtId="0" xfId="0" applyAlignment="1" applyFont="1">
      <alignment horizontal="left" vertical="center"/>
    </xf>
    <xf borderId="10" fillId="6" fontId="9" numFmtId="0" xfId="0" applyAlignment="1" applyBorder="1" applyFont="1">
      <alignment horizontal="left" vertical="center"/>
    </xf>
    <xf borderId="0" fillId="0" fontId="10" numFmtId="0" xfId="0" applyAlignment="1" applyFont="1">
      <alignment vertical="center"/>
    </xf>
    <xf borderId="0" fillId="0" fontId="11" numFmtId="0" xfId="0" applyAlignment="1" applyFont="1">
      <alignment vertical="center"/>
    </xf>
    <xf borderId="0" fillId="0" fontId="4" numFmtId="0" xfId="0" applyAlignment="1" applyFont="1">
      <alignment horizontal="left" shrinkToFit="0" vertical="center" wrapText="1"/>
    </xf>
    <xf borderId="0" fillId="0" fontId="3" numFmtId="0" xfId="0" applyAlignment="1" applyFont="1">
      <alignment vertical="center"/>
    </xf>
    <xf borderId="0" fillId="0" fontId="8" numFmtId="0" xfId="0" applyAlignment="1" applyFont="1">
      <alignment horizontal="right"/>
    </xf>
    <xf borderId="17" fillId="6" fontId="4" numFmtId="165" xfId="0" applyBorder="1" applyFont="1" applyNumberFormat="1"/>
    <xf borderId="18" fillId="6" fontId="4" numFmtId="165" xfId="0" applyBorder="1" applyFont="1" applyNumberFormat="1"/>
    <xf borderId="0" fillId="0" fontId="4" numFmtId="0" xfId="0" applyAlignment="1" applyFont="1">
      <alignment vertical="center"/>
    </xf>
    <xf borderId="0" fillId="0" fontId="8" numFmtId="0" xfId="0" applyAlignment="1" applyFont="1">
      <alignment horizontal="right" readingOrder="0"/>
    </xf>
    <xf borderId="17" fillId="6" fontId="4" numFmtId="2" xfId="0" applyBorder="1" applyFont="1" applyNumberFormat="1"/>
  </cellXfs>
  <cellStyles count="1">
    <cellStyle xfId="0" name="Normal" builtinId="0"/>
  </cellStyles>
  <dxfs count="3">
    <dxf>
      <font>
        <color theme="1"/>
      </font>
      <fill>
        <patternFill patternType="solid">
          <fgColor rgb="FFBFBFBF"/>
          <bgColor rgb="FFBFBFBF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38100</xdr:colOff>
      <xdr:row>45</xdr:row>
      <xdr:rowOff>295275</xdr:rowOff>
    </xdr:from>
    <xdr:ext cx="3457575" cy="695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.57"/>
    <col customWidth="1" min="2" max="3" width="18.86"/>
    <col customWidth="1" min="4" max="4" width="15.43"/>
    <col customWidth="1" min="5" max="5" width="8.43"/>
    <col customWidth="1" min="6" max="11" width="3.57"/>
    <col customWidth="1" min="12" max="12" width="6.0"/>
    <col customWidth="1" min="13" max="13" width="18.86"/>
    <col customWidth="1" min="14" max="21" width="2.71"/>
    <col customWidth="1" min="22" max="22" width="18.86"/>
    <col customWidth="1" min="23" max="28" width="2.86"/>
    <col customWidth="1" min="29" max="29" width="11.29"/>
    <col customWidth="1" min="30" max="30" width="6.86"/>
    <col customWidth="1" min="31" max="31" width="18.86"/>
    <col customWidth="1" min="32" max="32" width="8.71"/>
    <col customWidth="1" min="33" max="34" width="6.71"/>
    <col customWidth="1" min="35" max="35" width="18.86"/>
    <col customWidth="1" min="36" max="36" width="8.57"/>
    <col customWidth="1" min="37" max="37" width="6.86"/>
    <col customWidth="1" min="38" max="38" width="7.0"/>
    <col customWidth="1" min="39" max="39" width="18.86"/>
    <col customWidth="1" min="40" max="40" width="8.0"/>
    <col customWidth="1" min="41" max="41" width="6.43"/>
    <col customWidth="1" min="42" max="42" width="5.86"/>
    <col customWidth="1" min="43" max="43" width="18.86"/>
    <col customWidth="1" min="44" max="44" width="8.0"/>
    <col customWidth="1" min="45" max="46" width="6.86"/>
    <col customWidth="1" min="47" max="47" width="18.86"/>
    <col customWidth="1" min="48" max="48" width="8.71"/>
    <col customWidth="1" min="49" max="49" width="7.0"/>
    <col customWidth="1" min="50" max="50" width="7.71"/>
    <col customWidth="1" min="51" max="51" width="8.57"/>
  </cols>
  <sheetData>
    <row r="1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2" t="s">
        <v>12</v>
      </c>
      <c r="N1" s="4">
        <v>-1.0</v>
      </c>
      <c r="O1" s="4">
        <v>1.0</v>
      </c>
      <c r="P1" s="4">
        <v>1.0</v>
      </c>
      <c r="Q1" s="4">
        <v>-1.0</v>
      </c>
      <c r="R1" s="4">
        <v>1.0</v>
      </c>
      <c r="S1" s="4">
        <v>-1.0</v>
      </c>
      <c r="T1" s="4">
        <v>-1.0</v>
      </c>
      <c r="U1" s="4">
        <v>1.0</v>
      </c>
      <c r="V1" s="2" t="s">
        <v>13</v>
      </c>
      <c r="W1" s="4">
        <v>1.0</v>
      </c>
      <c r="X1" s="4">
        <v>1.0</v>
      </c>
      <c r="Y1" s="4">
        <v>-1.0</v>
      </c>
      <c r="Z1" s="4">
        <v>1.0</v>
      </c>
      <c r="AA1" s="4">
        <v>1.0</v>
      </c>
      <c r="AB1" s="4">
        <v>-1.0</v>
      </c>
      <c r="AC1" s="2" t="s">
        <v>14</v>
      </c>
      <c r="AD1" s="4" t="s">
        <v>15</v>
      </c>
      <c r="AE1" s="2" t="s">
        <v>16</v>
      </c>
      <c r="AF1" s="5" t="s">
        <v>17</v>
      </c>
      <c r="AG1" s="6" t="s">
        <v>18</v>
      </c>
      <c r="AH1" s="7" t="s">
        <v>15</v>
      </c>
      <c r="AI1" s="2" t="s">
        <v>19</v>
      </c>
      <c r="AJ1" s="5" t="s">
        <v>17</v>
      </c>
      <c r="AK1" s="6" t="s">
        <v>18</v>
      </c>
      <c r="AL1" s="7" t="s">
        <v>15</v>
      </c>
      <c r="AM1" s="2" t="s">
        <v>20</v>
      </c>
      <c r="AN1" s="5" t="s">
        <v>17</v>
      </c>
      <c r="AO1" s="6" t="s">
        <v>18</v>
      </c>
      <c r="AP1" s="7" t="s">
        <v>15</v>
      </c>
      <c r="AQ1" s="2" t="s">
        <v>21</v>
      </c>
      <c r="AR1" s="5" t="s">
        <v>17</v>
      </c>
      <c r="AS1" s="6" t="s">
        <v>18</v>
      </c>
      <c r="AT1" s="7" t="s">
        <v>15</v>
      </c>
      <c r="AU1" s="2" t="s">
        <v>22</v>
      </c>
      <c r="AV1" s="5" t="s">
        <v>17</v>
      </c>
      <c r="AW1" s="6" t="s">
        <v>18</v>
      </c>
      <c r="AX1" s="7" t="s">
        <v>15</v>
      </c>
      <c r="AY1" s="8" t="s">
        <v>23</v>
      </c>
    </row>
    <row r="2" ht="15.75" customHeight="1">
      <c r="A2" s="9">
        <v>1.0</v>
      </c>
      <c r="B2" s="10">
        <v>45222.65141856481</v>
      </c>
      <c r="C2" s="11" t="s">
        <v>24</v>
      </c>
      <c r="D2" s="11" t="s">
        <v>25</v>
      </c>
      <c r="E2" s="12">
        <v>365846.0</v>
      </c>
      <c r="F2" s="13">
        <f t="shared" ref="F2:F11" si="1">INT(E2/100000)</f>
        <v>3</v>
      </c>
      <c r="G2" s="13">
        <f t="shared" ref="G2:G11" si="2">INT(($E2-100000*F2)/10000)</f>
        <v>6</v>
      </c>
      <c r="H2" s="13">
        <f t="shared" ref="H2:H11" si="3">INT(($E2-100000*F2-10000*G2)/1000)</f>
        <v>5</v>
      </c>
      <c r="I2" s="13">
        <f t="shared" ref="I2:I11" si="4">INT(($E2-100000*$F2-10000*$G2-1000*$H2)/100)</f>
        <v>8</v>
      </c>
      <c r="J2" s="13">
        <f t="shared" ref="J2:J11" si="5">INT(($E2-100000*$F2-10000*$G2-1000*$H2-100*$I2)/10)</f>
        <v>4</v>
      </c>
      <c r="K2" s="13">
        <f t="shared" ref="K2:K11" si="6">INT(($E2-100000*$F2-10000*$G2-1000*$H2-100*$I2-10*$J2))</f>
        <v>6</v>
      </c>
      <c r="L2" s="14">
        <v>1.0</v>
      </c>
      <c r="M2" s="11" t="s">
        <v>26</v>
      </c>
      <c r="N2" s="14">
        <f t="shared" ref="N2:N11" si="7">IF(ISERROR(FIND("In a free spherical sound field the SPL decreases by 3 dB",M2,1)),0,N$1)</f>
        <v>0</v>
      </c>
      <c r="O2" s="14">
        <f t="shared" ref="O2:O11" si="8">IF(ISERROR(FIND("In a free spherical sound field the SPL decreases by 6 dB",M2,1)),0,O$1)</f>
        <v>1</v>
      </c>
      <c r="P2" s="14">
        <f t="shared" ref="P2:P11" si="9">IF(ISERROR(FIND("In a free cylindrical sound field the SPL decreases by 3",M2,1)),0,P$1)</f>
        <v>1</v>
      </c>
      <c r="Q2" s="14">
        <f t="shared" ref="Q2:Q11" si="10">IF(ISERROR(FIND("In a free cylindrical sound field the SPL decreases by 6",M2,1)),0,Q$1)</f>
        <v>0</v>
      </c>
      <c r="R2" s="14">
        <f t="shared" ref="R2:R11" si="11">IF(ISERROR(FIND("When the traffic flow along a road doubles, the SPL at the receiver increases by 3 dB",M2,1)),0,R$1)</f>
        <v>1</v>
      </c>
      <c r="S2" s="14">
        <f t="shared" ref="S2:S11" si="12">IF(ISERROR(FIND("When the traffic flow along a road doubles, the SPL at the receiver increases by 6 dB",M2,1)),0,S$1)</f>
        <v>0</v>
      </c>
      <c r="T2" s="14">
        <f t="shared" ref="T2:T11" si="13">IF(ISERROR(FIND("When the speed of vehicles doubles, with constant power level, the SPL at the receiver increases by 3 dB",M2,1)),0,U$1)</f>
        <v>0</v>
      </c>
      <c r="U2" s="14">
        <f t="shared" ref="U2:U11" si="14">IF(ISERROR(FIND("When the speed of vehicles doubles, with constant power level, the SPL at the receiver decreases by 3 dB",M2,1)),0,U$1)</f>
        <v>1</v>
      </c>
      <c r="V2" s="11" t="s">
        <v>27</v>
      </c>
      <c r="W2" s="14">
        <f t="shared" ref="W2:W11" si="15">IF(ISERROR(FIND("The reflection coefficient of a wall r is the ratio between reflected power and incident power",V2,1)),0,W$1)</f>
        <v>1</v>
      </c>
      <c r="X2" s="14">
        <f t="shared" ref="X2:X11" si="16">IF(ISERROR(FIND("The absorption coefficient of a wall a is the ratio between absorbed power and incident power",V2,1)),0,X$1)</f>
        <v>1</v>
      </c>
      <c r="Y2" s="14">
        <f t="shared" ref="Y2:Y11" si="17">IF(ISERROR(FIND("The apparent sound absorption coeff. of a wall a is the ratio between absorbed power and incident power",V2,1)),0,Y$1)</f>
        <v>0</v>
      </c>
      <c r="Z2" s="14">
        <f t="shared" ref="Z2:Z11" si="18">IF(ISERROR(FIND("The apparent sound absorption coeff. of a wall α is the sum of the absorption and transmission coefficients (α=a+t)",V2,1)),0,Z$1)</f>
        <v>1</v>
      </c>
      <c r="AA2" s="14">
        <f t="shared" ref="AA2:AA11" si="19">IF(ISERROR(FIND("The transmission coefficient of a wall t is the ratio between power transmitted through the wall and incident power",V2,1)),0,AA$1)</f>
        <v>1</v>
      </c>
      <c r="AB2" s="14">
        <f t="shared" ref="AB2:AB11" si="20">IF(ISERROR(FIND("The sum of a + t is always equal to 1 (a+t=1)",V2,1)),0,AB$1)</f>
        <v>0</v>
      </c>
      <c r="AC2" s="11" t="s">
        <v>28</v>
      </c>
      <c r="AD2" s="14">
        <v>1.0</v>
      </c>
      <c r="AE2" s="11" t="s">
        <v>29</v>
      </c>
      <c r="AF2" s="15">
        <f t="shared" ref="AF2:AF11" si="21">100+K2-11-20*LOG10(50+J2)</f>
        <v>60.3521248</v>
      </c>
      <c r="AG2" s="16" t="s">
        <v>30</v>
      </c>
      <c r="AH2" s="14">
        <f>IF(AE2="",0,IF(EXACT(RIGHT(AE2,2),"dB"),IF(ABS(VALUE(LEFT(AE2,FIND(" ",AE2,1)))-AF2)&lt;=0.5,1,0),-1))</f>
        <v>1</v>
      </c>
      <c r="AI2" s="11" t="s">
        <v>31</v>
      </c>
      <c r="AJ2" s="15">
        <f t="shared" ref="AJ2:AJ11" si="22">100+K2-11-20*LOG10(50+J2)+10*LOG10(2)</f>
        <v>63.36242476</v>
      </c>
      <c r="AK2" s="16" t="s">
        <v>30</v>
      </c>
      <c r="AL2" s="14">
        <f t="shared" ref="AL2:AL7" si="23">IF(AI2="",0,IF(EXACT(RIGHT(AI2,2),"dB"),IF(ABS(VALUE(LEFT(AI2,FIND(" ",AI2,1)))-AJ2)&lt;=0.5,1,0),-1))</f>
        <v>1</v>
      </c>
      <c r="AM2" s="11" t="s">
        <v>32</v>
      </c>
      <c r="AN2" s="15">
        <f t="shared" ref="AN2:AN11" si="24">85+J2-10*LOG10(50000/(2000+K2*100))-6-10*LOG10(50+I2*5)</f>
        <v>50.61760834</v>
      </c>
      <c r="AO2" s="16" t="s">
        <v>33</v>
      </c>
      <c r="AP2" s="14">
        <f>IF(AM2="",0,IF(EXACT(RIGHT(AM2,5),"dB(A)"),IF(ABS(VALUE(LEFT(AM2,FIND(" ",AM2,1)))-AN2)&lt;=0.5,1,0),-1))</f>
        <v>1</v>
      </c>
      <c r="AQ2" s="11" t="s">
        <v>34</v>
      </c>
      <c r="AR2" s="15">
        <f t="shared" ref="AR2:AR11" si="25">0.16*(300+K2*20)/(50+J2)</f>
        <v>1.244444444</v>
      </c>
      <c r="AS2" s="16" t="s">
        <v>35</v>
      </c>
      <c r="AT2" s="14">
        <f>IF(AQ2="",0,IF(EXACT(RIGHT(AQ2,1),"s"),IF(ABS(VALUE(LEFT(AQ2,FIND(" ",AQ2,1)))-AR2)&lt;=0.5,1,0),-1))</f>
        <v>1</v>
      </c>
      <c r="AU2" s="11" t="s">
        <v>36</v>
      </c>
      <c r="AV2" s="15">
        <f t="shared" ref="AV2:AV11" si="26">SQRT((3+K2/2)*(50+J2)/16/PI())</f>
        <v>2.538853126</v>
      </c>
      <c r="AW2" s="16" t="s">
        <v>37</v>
      </c>
      <c r="AX2" s="14">
        <f t="shared" ref="AX2:AX7" si="27">IF(AU2="",0,IF(EXACT(RIGHT(AU2,1),"m"),IF(ABS(VALUE(LEFT(AU2,FIND(" ",AU2,1)))-AV2)&lt;=0.1,1,-1),-1))</f>
        <v>1</v>
      </c>
      <c r="AY2" s="17">
        <f t="shared" ref="AY2:AY11" si="28">L2+SUM(N2:U2)+SUM(W2:AB2)+AD2+AH2+AL2+AP2+AT2+AX2</f>
        <v>15</v>
      </c>
    </row>
    <row r="3" ht="15.75" customHeight="1">
      <c r="A3" s="9">
        <v>2.0</v>
      </c>
      <c r="B3" s="10">
        <v>45222.65359583333</v>
      </c>
      <c r="C3" s="11" t="s">
        <v>38</v>
      </c>
      <c r="D3" s="11" t="s">
        <v>39</v>
      </c>
      <c r="E3" s="12">
        <v>363610.0</v>
      </c>
      <c r="F3" s="13">
        <f t="shared" si="1"/>
        <v>3</v>
      </c>
      <c r="G3" s="13">
        <f t="shared" si="2"/>
        <v>6</v>
      </c>
      <c r="H3" s="13">
        <f t="shared" si="3"/>
        <v>3</v>
      </c>
      <c r="I3" s="13">
        <f t="shared" si="4"/>
        <v>6</v>
      </c>
      <c r="J3" s="13">
        <f t="shared" si="5"/>
        <v>1</v>
      </c>
      <c r="K3" s="13">
        <f t="shared" si="6"/>
        <v>0</v>
      </c>
      <c r="L3" s="14">
        <v>1.0</v>
      </c>
      <c r="M3" s="11" t="s">
        <v>40</v>
      </c>
      <c r="N3" s="14">
        <f t="shared" si="7"/>
        <v>0</v>
      </c>
      <c r="O3" s="14">
        <f t="shared" si="8"/>
        <v>1</v>
      </c>
      <c r="P3" s="14">
        <f t="shared" si="9"/>
        <v>1</v>
      </c>
      <c r="Q3" s="14">
        <f t="shared" si="10"/>
        <v>0</v>
      </c>
      <c r="R3" s="14">
        <f t="shared" si="11"/>
        <v>0</v>
      </c>
      <c r="S3" s="14">
        <f t="shared" si="12"/>
        <v>0</v>
      </c>
      <c r="T3" s="14">
        <f t="shared" si="13"/>
        <v>1</v>
      </c>
      <c r="U3" s="14">
        <f t="shared" si="14"/>
        <v>0</v>
      </c>
      <c r="V3" s="11" t="s">
        <v>41</v>
      </c>
      <c r="W3" s="14">
        <f t="shared" si="15"/>
        <v>1</v>
      </c>
      <c r="X3" s="14">
        <f t="shared" si="16"/>
        <v>1</v>
      </c>
      <c r="Y3" s="14">
        <f t="shared" si="17"/>
        <v>0</v>
      </c>
      <c r="Z3" s="14">
        <f t="shared" si="18"/>
        <v>1</v>
      </c>
      <c r="AA3" s="14">
        <f t="shared" si="19"/>
        <v>0</v>
      </c>
      <c r="AB3" s="14">
        <f t="shared" si="20"/>
        <v>0</v>
      </c>
      <c r="AC3" s="11" t="s">
        <v>28</v>
      </c>
      <c r="AD3" s="14">
        <v>1.0</v>
      </c>
      <c r="AE3" s="18" t="s">
        <v>42</v>
      </c>
      <c r="AF3" s="15">
        <f t="shared" si="21"/>
        <v>54.84859648</v>
      </c>
      <c r="AG3" s="16" t="s">
        <v>30</v>
      </c>
      <c r="AH3" s="14">
        <v>0.0</v>
      </c>
      <c r="AI3" s="11" t="s">
        <v>43</v>
      </c>
      <c r="AJ3" s="15">
        <f t="shared" si="22"/>
        <v>57.85889643</v>
      </c>
      <c r="AK3" s="16" t="s">
        <v>30</v>
      </c>
      <c r="AL3" s="14">
        <f t="shared" si="23"/>
        <v>-1</v>
      </c>
      <c r="AM3" s="11" t="s">
        <v>44</v>
      </c>
      <c r="AN3" s="15">
        <f t="shared" si="24"/>
        <v>46.98970004</v>
      </c>
      <c r="AO3" s="16" t="s">
        <v>33</v>
      </c>
      <c r="AP3" s="14">
        <v>-1.0</v>
      </c>
      <c r="AQ3" s="11" t="s">
        <v>45</v>
      </c>
      <c r="AR3" s="15">
        <f t="shared" si="25"/>
        <v>0.9411764706</v>
      </c>
      <c r="AS3" s="16" t="s">
        <v>35</v>
      </c>
      <c r="AT3" s="14">
        <v>-1.0</v>
      </c>
      <c r="AU3" s="11" t="s">
        <v>46</v>
      </c>
      <c r="AV3" s="15">
        <f t="shared" si="26"/>
        <v>1.744659934</v>
      </c>
      <c r="AW3" s="16" t="s">
        <v>37</v>
      </c>
      <c r="AX3" s="14">
        <f t="shared" si="27"/>
        <v>-1</v>
      </c>
      <c r="AY3" s="17">
        <f t="shared" si="28"/>
        <v>4</v>
      </c>
    </row>
    <row r="4" ht="15.75" customHeight="1">
      <c r="A4" s="9">
        <v>3.0</v>
      </c>
      <c r="B4" s="10">
        <v>45222.6570866088</v>
      </c>
      <c r="C4" s="11" t="s">
        <v>47</v>
      </c>
      <c r="D4" s="11" t="s">
        <v>48</v>
      </c>
      <c r="E4" s="12">
        <v>281298.0</v>
      </c>
      <c r="F4" s="13">
        <f t="shared" si="1"/>
        <v>2</v>
      </c>
      <c r="G4" s="13">
        <f t="shared" si="2"/>
        <v>8</v>
      </c>
      <c r="H4" s="13">
        <f t="shared" si="3"/>
        <v>1</v>
      </c>
      <c r="I4" s="13">
        <f t="shared" si="4"/>
        <v>2</v>
      </c>
      <c r="J4" s="13">
        <f t="shared" si="5"/>
        <v>9</v>
      </c>
      <c r="K4" s="13">
        <f t="shared" si="6"/>
        <v>8</v>
      </c>
      <c r="L4" s="14">
        <v>1.0</v>
      </c>
      <c r="M4" s="11" t="s">
        <v>49</v>
      </c>
      <c r="N4" s="14">
        <f t="shared" si="7"/>
        <v>-1</v>
      </c>
      <c r="O4" s="14">
        <f t="shared" si="8"/>
        <v>0</v>
      </c>
      <c r="P4" s="14">
        <f t="shared" si="9"/>
        <v>1</v>
      </c>
      <c r="Q4" s="14">
        <f t="shared" si="10"/>
        <v>0</v>
      </c>
      <c r="R4" s="14">
        <f t="shared" si="11"/>
        <v>0</v>
      </c>
      <c r="S4" s="14">
        <f t="shared" si="12"/>
        <v>0</v>
      </c>
      <c r="T4" s="14">
        <f t="shared" si="13"/>
        <v>1</v>
      </c>
      <c r="U4" s="14">
        <f t="shared" si="14"/>
        <v>0</v>
      </c>
      <c r="V4" s="11" t="s">
        <v>50</v>
      </c>
      <c r="W4" s="14">
        <f t="shared" si="15"/>
        <v>1</v>
      </c>
      <c r="X4" s="14">
        <f t="shared" si="16"/>
        <v>1</v>
      </c>
      <c r="Y4" s="14">
        <f t="shared" si="17"/>
        <v>0</v>
      </c>
      <c r="Z4" s="14">
        <f t="shared" si="18"/>
        <v>0</v>
      </c>
      <c r="AA4" s="14">
        <f t="shared" si="19"/>
        <v>1</v>
      </c>
      <c r="AB4" s="14">
        <f t="shared" si="20"/>
        <v>0</v>
      </c>
      <c r="AC4" s="11" t="s">
        <v>28</v>
      </c>
      <c r="AD4" s="14">
        <v>1.0</v>
      </c>
      <c r="AE4" s="11" t="s">
        <v>51</v>
      </c>
      <c r="AF4" s="15">
        <f t="shared" si="21"/>
        <v>61.58295977</v>
      </c>
      <c r="AG4" s="16" t="s">
        <v>30</v>
      </c>
      <c r="AH4" s="14">
        <v>-1.0</v>
      </c>
      <c r="AI4" s="11" t="s">
        <v>52</v>
      </c>
      <c r="AJ4" s="15">
        <f t="shared" si="22"/>
        <v>64.59325972</v>
      </c>
      <c r="AK4" s="16" t="s">
        <v>30</v>
      </c>
      <c r="AL4" s="14">
        <f t="shared" si="23"/>
        <v>0</v>
      </c>
      <c r="AM4" s="18" t="s">
        <v>53</v>
      </c>
      <c r="AN4" s="15">
        <f t="shared" si="24"/>
        <v>57.70036777</v>
      </c>
      <c r="AO4" s="16" t="s">
        <v>33</v>
      </c>
      <c r="AP4" s="14">
        <f t="shared" ref="AP4:AP5" si="29">IF(AM4="",0,IF(EXACT(RIGHT(AM4,5),"dB(A)"),IF(ABS(VALUE(LEFT(AM4,FIND(" ",AM4,1)))-AN4)&lt;=0.5,1,0),-1))</f>
        <v>-1</v>
      </c>
      <c r="AQ4" s="19" t="s">
        <v>54</v>
      </c>
      <c r="AR4" s="15">
        <f t="shared" si="25"/>
        <v>1.247457627</v>
      </c>
      <c r="AS4" s="16" t="s">
        <v>35</v>
      </c>
      <c r="AT4" s="14">
        <v>-1.0</v>
      </c>
      <c r="AU4" s="19" t="s">
        <v>55</v>
      </c>
      <c r="AV4" s="15">
        <f t="shared" si="26"/>
        <v>2.8664218</v>
      </c>
      <c r="AW4" s="16" t="s">
        <v>37</v>
      </c>
      <c r="AX4" s="14">
        <f t="shared" si="27"/>
        <v>-1</v>
      </c>
      <c r="AY4" s="17">
        <f t="shared" si="28"/>
        <v>2</v>
      </c>
    </row>
    <row r="5" ht="15.75" customHeight="1">
      <c r="A5" s="9">
        <v>4.0</v>
      </c>
      <c r="B5" s="10">
        <v>45222.657121701384</v>
      </c>
      <c r="C5" s="11" t="s">
        <v>56</v>
      </c>
      <c r="D5" s="11" t="s">
        <v>57</v>
      </c>
      <c r="E5" s="12">
        <v>356942.0</v>
      </c>
      <c r="F5" s="13">
        <f t="shared" si="1"/>
        <v>3</v>
      </c>
      <c r="G5" s="13">
        <f t="shared" si="2"/>
        <v>5</v>
      </c>
      <c r="H5" s="13">
        <f t="shared" si="3"/>
        <v>6</v>
      </c>
      <c r="I5" s="13">
        <f t="shared" si="4"/>
        <v>9</v>
      </c>
      <c r="J5" s="13">
        <f t="shared" si="5"/>
        <v>4</v>
      </c>
      <c r="K5" s="13">
        <f t="shared" si="6"/>
        <v>2</v>
      </c>
      <c r="L5" s="14">
        <v>1.0</v>
      </c>
      <c r="M5" s="11" t="s">
        <v>26</v>
      </c>
      <c r="N5" s="14">
        <f t="shared" si="7"/>
        <v>0</v>
      </c>
      <c r="O5" s="14">
        <f t="shared" si="8"/>
        <v>1</v>
      </c>
      <c r="P5" s="14">
        <f t="shared" si="9"/>
        <v>1</v>
      </c>
      <c r="Q5" s="14">
        <f t="shared" si="10"/>
        <v>0</v>
      </c>
      <c r="R5" s="14">
        <f t="shared" si="11"/>
        <v>1</v>
      </c>
      <c r="S5" s="14">
        <f t="shared" si="12"/>
        <v>0</v>
      </c>
      <c r="T5" s="14">
        <f t="shared" si="13"/>
        <v>0</v>
      </c>
      <c r="U5" s="14">
        <f t="shared" si="14"/>
        <v>1</v>
      </c>
      <c r="V5" s="11" t="s">
        <v>27</v>
      </c>
      <c r="W5" s="14">
        <f t="shared" si="15"/>
        <v>1</v>
      </c>
      <c r="X5" s="14">
        <f t="shared" si="16"/>
        <v>1</v>
      </c>
      <c r="Y5" s="14">
        <f t="shared" si="17"/>
        <v>0</v>
      </c>
      <c r="Z5" s="14">
        <f t="shared" si="18"/>
        <v>1</v>
      </c>
      <c r="AA5" s="14">
        <f t="shared" si="19"/>
        <v>1</v>
      </c>
      <c r="AB5" s="14">
        <f t="shared" si="20"/>
        <v>0</v>
      </c>
      <c r="AC5" s="11" t="s">
        <v>28</v>
      </c>
      <c r="AD5" s="14">
        <v>1.0</v>
      </c>
      <c r="AE5" s="11" t="s">
        <v>58</v>
      </c>
      <c r="AF5" s="15">
        <f t="shared" si="21"/>
        <v>56.3521248</v>
      </c>
      <c r="AG5" s="16" t="s">
        <v>30</v>
      </c>
      <c r="AH5" s="14">
        <f t="shared" ref="AH5:AH7" si="30">IF(AE5="",0,IF(EXACT(RIGHT(AE5,2),"dB"),IF(ABS(VALUE(LEFT(AE5,FIND(" ",AE5,1)))-AF5)&lt;=0.5,1,0),-1))</f>
        <v>1</v>
      </c>
      <c r="AI5" s="11" t="s">
        <v>59</v>
      </c>
      <c r="AJ5" s="15">
        <f t="shared" si="22"/>
        <v>59.36242476</v>
      </c>
      <c r="AK5" s="16" t="s">
        <v>30</v>
      </c>
      <c r="AL5" s="14">
        <f t="shared" si="23"/>
        <v>1</v>
      </c>
      <c r="AM5" s="11" t="s">
        <v>60</v>
      </c>
      <c r="AN5" s="15">
        <f t="shared" si="24"/>
        <v>49.65729071</v>
      </c>
      <c r="AO5" s="16" t="s">
        <v>33</v>
      </c>
      <c r="AP5" s="14">
        <f t="shared" si="29"/>
        <v>1</v>
      </c>
      <c r="AQ5" s="11" t="s">
        <v>61</v>
      </c>
      <c r="AR5" s="15">
        <f t="shared" si="25"/>
        <v>1.007407407</v>
      </c>
      <c r="AS5" s="16" t="s">
        <v>35</v>
      </c>
      <c r="AT5" s="14">
        <f t="shared" ref="AT5:AT7" si="31">IF(AQ5="",0,IF(EXACT(RIGHT(AQ5,1),"s"),IF(ABS(VALUE(LEFT(AQ5,FIND(" ",AQ5,1)))-AR5)&lt;=0.5,1,0),-1))</f>
        <v>1</v>
      </c>
      <c r="AU5" s="11" t="s">
        <v>62</v>
      </c>
      <c r="AV5" s="15">
        <f t="shared" si="26"/>
        <v>2.072964897</v>
      </c>
      <c r="AW5" s="16" t="s">
        <v>37</v>
      </c>
      <c r="AX5" s="14">
        <f t="shared" si="27"/>
        <v>1</v>
      </c>
      <c r="AY5" s="17">
        <f t="shared" si="28"/>
        <v>15</v>
      </c>
    </row>
    <row r="6" ht="15.75" customHeight="1">
      <c r="A6" s="9">
        <v>5.0</v>
      </c>
      <c r="B6" s="10">
        <v>45222.65742398148</v>
      </c>
      <c r="C6" s="11" t="s">
        <v>63</v>
      </c>
      <c r="D6" s="11" t="s">
        <v>64</v>
      </c>
      <c r="E6" s="12">
        <v>365868.0</v>
      </c>
      <c r="F6" s="13">
        <f t="shared" si="1"/>
        <v>3</v>
      </c>
      <c r="G6" s="13">
        <f t="shared" si="2"/>
        <v>6</v>
      </c>
      <c r="H6" s="13">
        <f t="shared" si="3"/>
        <v>5</v>
      </c>
      <c r="I6" s="13">
        <f t="shared" si="4"/>
        <v>8</v>
      </c>
      <c r="J6" s="13">
        <f t="shared" si="5"/>
        <v>6</v>
      </c>
      <c r="K6" s="13">
        <f t="shared" si="6"/>
        <v>8</v>
      </c>
      <c r="L6" s="14">
        <v>1.0</v>
      </c>
      <c r="M6" s="11" t="s">
        <v>65</v>
      </c>
      <c r="N6" s="14">
        <f t="shared" si="7"/>
        <v>0</v>
      </c>
      <c r="O6" s="14">
        <f t="shared" si="8"/>
        <v>1</v>
      </c>
      <c r="P6" s="14">
        <f t="shared" si="9"/>
        <v>0</v>
      </c>
      <c r="Q6" s="14">
        <f t="shared" si="10"/>
        <v>0</v>
      </c>
      <c r="R6" s="14">
        <f t="shared" si="11"/>
        <v>1</v>
      </c>
      <c r="S6" s="14">
        <f t="shared" si="12"/>
        <v>0</v>
      </c>
      <c r="T6" s="14">
        <f t="shared" si="13"/>
        <v>0</v>
      </c>
      <c r="U6" s="14">
        <f t="shared" si="14"/>
        <v>0</v>
      </c>
      <c r="V6" s="11" t="s">
        <v>66</v>
      </c>
      <c r="W6" s="14">
        <f t="shared" si="15"/>
        <v>1</v>
      </c>
      <c r="X6" s="14">
        <f t="shared" si="16"/>
        <v>1</v>
      </c>
      <c r="Y6" s="14">
        <f t="shared" si="17"/>
        <v>0</v>
      </c>
      <c r="Z6" s="14">
        <f t="shared" si="18"/>
        <v>0</v>
      </c>
      <c r="AA6" s="14">
        <f t="shared" si="19"/>
        <v>1</v>
      </c>
      <c r="AB6" s="14">
        <f t="shared" si="20"/>
        <v>0</v>
      </c>
      <c r="AC6" s="11" t="s">
        <v>28</v>
      </c>
      <c r="AD6" s="14">
        <v>1.0</v>
      </c>
      <c r="AE6" s="11" t="s">
        <v>67</v>
      </c>
      <c r="AF6" s="15">
        <f t="shared" si="21"/>
        <v>62.03623946</v>
      </c>
      <c r="AG6" s="16" t="s">
        <v>30</v>
      </c>
      <c r="AH6" s="14">
        <f t="shared" si="30"/>
        <v>1</v>
      </c>
      <c r="AI6" s="11" t="s">
        <v>68</v>
      </c>
      <c r="AJ6" s="15">
        <f t="shared" si="22"/>
        <v>65.04653942</v>
      </c>
      <c r="AK6" s="16" t="s">
        <v>30</v>
      </c>
      <c r="AL6" s="14">
        <f t="shared" si="23"/>
        <v>1</v>
      </c>
      <c r="AM6" s="11" t="s">
        <v>69</v>
      </c>
      <c r="AN6" s="15">
        <f t="shared" si="24"/>
        <v>52.93945518</v>
      </c>
      <c r="AO6" s="16" t="s">
        <v>33</v>
      </c>
      <c r="AP6" s="14">
        <v>-1.0</v>
      </c>
      <c r="AQ6" s="11" t="s">
        <v>70</v>
      </c>
      <c r="AR6" s="15">
        <f t="shared" si="25"/>
        <v>1.314285714</v>
      </c>
      <c r="AS6" s="16" t="s">
        <v>35</v>
      </c>
      <c r="AT6" s="14">
        <f t="shared" si="31"/>
        <v>1</v>
      </c>
      <c r="AU6" s="11" t="s">
        <v>71</v>
      </c>
      <c r="AV6" s="15">
        <f t="shared" si="26"/>
        <v>2.792595963</v>
      </c>
      <c r="AW6" s="16" t="s">
        <v>37</v>
      </c>
      <c r="AX6" s="14">
        <f t="shared" si="27"/>
        <v>-1</v>
      </c>
      <c r="AY6" s="17">
        <f t="shared" si="28"/>
        <v>8</v>
      </c>
    </row>
    <row r="7" ht="15.75" customHeight="1">
      <c r="A7" s="9">
        <v>6.0</v>
      </c>
      <c r="B7" s="10">
        <v>45222.65915111111</v>
      </c>
      <c r="C7" s="11" t="s">
        <v>72</v>
      </c>
      <c r="D7" s="11" t="s">
        <v>73</v>
      </c>
      <c r="E7" s="12">
        <v>366043.0</v>
      </c>
      <c r="F7" s="13">
        <f t="shared" si="1"/>
        <v>3</v>
      </c>
      <c r="G7" s="13">
        <f t="shared" si="2"/>
        <v>6</v>
      </c>
      <c r="H7" s="13">
        <f t="shared" si="3"/>
        <v>6</v>
      </c>
      <c r="I7" s="13">
        <f t="shared" si="4"/>
        <v>0</v>
      </c>
      <c r="J7" s="13">
        <f t="shared" si="5"/>
        <v>4</v>
      </c>
      <c r="K7" s="13">
        <f t="shared" si="6"/>
        <v>3</v>
      </c>
      <c r="L7" s="14">
        <v>1.0</v>
      </c>
      <c r="M7" s="11" t="s">
        <v>65</v>
      </c>
      <c r="N7" s="14">
        <f t="shared" si="7"/>
        <v>0</v>
      </c>
      <c r="O7" s="14">
        <f t="shared" si="8"/>
        <v>1</v>
      </c>
      <c r="P7" s="14">
        <f t="shared" si="9"/>
        <v>0</v>
      </c>
      <c r="Q7" s="14">
        <f t="shared" si="10"/>
        <v>0</v>
      </c>
      <c r="R7" s="14">
        <f t="shared" si="11"/>
        <v>1</v>
      </c>
      <c r="S7" s="14">
        <f t="shared" si="12"/>
        <v>0</v>
      </c>
      <c r="T7" s="14">
        <f t="shared" si="13"/>
        <v>0</v>
      </c>
      <c r="U7" s="14">
        <f t="shared" si="14"/>
        <v>0</v>
      </c>
      <c r="V7" s="11" t="s">
        <v>74</v>
      </c>
      <c r="W7" s="14">
        <f t="shared" si="15"/>
        <v>1</v>
      </c>
      <c r="X7" s="14">
        <f t="shared" si="16"/>
        <v>1</v>
      </c>
      <c r="Y7" s="14">
        <f t="shared" si="17"/>
        <v>0</v>
      </c>
      <c r="Z7" s="14">
        <f t="shared" si="18"/>
        <v>0</v>
      </c>
      <c r="AA7" s="14">
        <f t="shared" si="19"/>
        <v>0</v>
      </c>
      <c r="AB7" s="14">
        <f t="shared" si="20"/>
        <v>0</v>
      </c>
      <c r="AC7" s="11" t="s">
        <v>28</v>
      </c>
      <c r="AD7" s="14">
        <v>1.0</v>
      </c>
      <c r="AE7" s="11" t="s">
        <v>75</v>
      </c>
      <c r="AF7" s="15">
        <f t="shared" si="21"/>
        <v>57.3521248</v>
      </c>
      <c r="AG7" s="16" t="s">
        <v>30</v>
      </c>
      <c r="AH7" s="14">
        <f t="shared" si="30"/>
        <v>1</v>
      </c>
      <c r="AI7" s="11" t="s">
        <v>76</v>
      </c>
      <c r="AJ7" s="15">
        <f t="shared" si="22"/>
        <v>60.36242476</v>
      </c>
      <c r="AK7" s="16" t="s">
        <v>30</v>
      </c>
      <c r="AL7" s="14">
        <f t="shared" si="23"/>
        <v>1</v>
      </c>
      <c r="AM7" s="16"/>
      <c r="AN7" s="15">
        <f t="shared" si="24"/>
        <v>52.63787827</v>
      </c>
      <c r="AO7" s="16" t="s">
        <v>33</v>
      </c>
      <c r="AP7" s="14">
        <f>IF(AM7="",0,IF(EXACT(RIGHT(AM7,5),"dB(A)"),IF(ABS(VALUE(LEFT(AM7,FIND(" ",AM7,1)))-AN7)&lt;=0.5,1,0),-1))</f>
        <v>0</v>
      </c>
      <c r="AQ7" s="11" t="s">
        <v>77</v>
      </c>
      <c r="AR7" s="15">
        <f t="shared" si="25"/>
        <v>1.066666667</v>
      </c>
      <c r="AS7" s="16" t="s">
        <v>35</v>
      </c>
      <c r="AT7" s="14">
        <f t="shared" si="31"/>
        <v>1</v>
      </c>
      <c r="AU7" s="11" t="s">
        <v>78</v>
      </c>
      <c r="AV7" s="15">
        <f t="shared" si="26"/>
        <v>2.198711304</v>
      </c>
      <c r="AW7" s="16" t="s">
        <v>37</v>
      </c>
      <c r="AX7" s="14">
        <f t="shared" si="27"/>
        <v>-1</v>
      </c>
      <c r="AY7" s="17">
        <f t="shared" si="28"/>
        <v>8</v>
      </c>
    </row>
    <row r="8" ht="15.75" customHeight="1">
      <c r="A8" s="9">
        <v>7.0</v>
      </c>
      <c r="B8" s="10">
        <v>45222.65991702546</v>
      </c>
      <c r="C8" s="11" t="s">
        <v>79</v>
      </c>
      <c r="D8" s="11" t="s">
        <v>80</v>
      </c>
      <c r="E8" s="12">
        <v>363663.0</v>
      </c>
      <c r="F8" s="13">
        <f t="shared" si="1"/>
        <v>3</v>
      </c>
      <c r="G8" s="13">
        <f t="shared" si="2"/>
        <v>6</v>
      </c>
      <c r="H8" s="13">
        <f t="shared" si="3"/>
        <v>3</v>
      </c>
      <c r="I8" s="13">
        <f t="shared" si="4"/>
        <v>6</v>
      </c>
      <c r="J8" s="13">
        <f t="shared" si="5"/>
        <v>6</v>
      </c>
      <c r="K8" s="13">
        <f t="shared" si="6"/>
        <v>3</v>
      </c>
      <c r="L8" s="14">
        <v>1.0</v>
      </c>
      <c r="M8" s="11" t="s">
        <v>81</v>
      </c>
      <c r="N8" s="14">
        <f t="shared" si="7"/>
        <v>0</v>
      </c>
      <c r="O8" s="14">
        <f t="shared" si="8"/>
        <v>1</v>
      </c>
      <c r="P8" s="14">
        <f t="shared" si="9"/>
        <v>1</v>
      </c>
      <c r="Q8" s="14">
        <f t="shared" si="10"/>
        <v>0</v>
      </c>
      <c r="R8" s="14">
        <f t="shared" si="11"/>
        <v>0</v>
      </c>
      <c r="S8" s="14">
        <f t="shared" si="12"/>
        <v>-1</v>
      </c>
      <c r="T8" s="14">
        <f t="shared" si="13"/>
        <v>0</v>
      </c>
      <c r="U8" s="14">
        <f t="shared" si="14"/>
        <v>1</v>
      </c>
      <c r="V8" s="11" t="s">
        <v>82</v>
      </c>
      <c r="W8" s="14">
        <f t="shared" si="15"/>
        <v>0</v>
      </c>
      <c r="X8" s="14">
        <f t="shared" si="16"/>
        <v>1</v>
      </c>
      <c r="Y8" s="14">
        <f t="shared" si="17"/>
        <v>0</v>
      </c>
      <c r="Z8" s="14">
        <f t="shared" si="18"/>
        <v>0</v>
      </c>
      <c r="AA8" s="14">
        <f t="shared" si="19"/>
        <v>1</v>
      </c>
      <c r="AB8" s="14">
        <f t="shared" si="20"/>
        <v>0</v>
      </c>
      <c r="AC8" s="11" t="s">
        <v>83</v>
      </c>
      <c r="AD8" s="14">
        <v>-1.0</v>
      </c>
      <c r="AE8" s="19" t="s">
        <v>84</v>
      </c>
      <c r="AF8" s="15">
        <f t="shared" si="21"/>
        <v>57.03623946</v>
      </c>
      <c r="AG8" s="16" t="s">
        <v>30</v>
      </c>
      <c r="AH8" s="14">
        <v>1.0</v>
      </c>
      <c r="AI8" s="19" t="s">
        <v>85</v>
      </c>
      <c r="AJ8" s="15">
        <f t="shared" si="22"/>
        <v>60.04653942</v>
      </c>
      <c r="AK8" s="16" t="s">
        <v>30</v>
      </c>
      <c r="AL8" s="14">
        <v>1.0</v>
      </c>
      <c r="AM8" s="19" t="s">
        <v>86</v>
      </c>
      <c r="AN8" s="15">
        <f t="shared" si="24"/>
        <v>52.59667845</v>
      </c>
      <c r="AO8" s="16" t="s">
        <v>33</v>
      </c>
      <c r="AP8" s="14">
        <v>-1.0</v>
      </c>
      <c r="AQ8" s="19" t="s">
        <v>87</v>
      </c>
      <c r="AR8" s="15">
        <f t="shared" si="25"/>
        <v>1.028571429</v>
      </c>
      <c r="AS8" s="16" t="s">
        <v>35</v>
      </c>
      <c r="AT8" s="14">
        <v>-1.0</v>
      </c>
      <c r="AU8" s="19" t="s">
        <v>88</v>
      </c>
      <c r="AV8" s="15">
        <f t="shared" si="26"/>
        <v>2.239057996</v>
      </c>
      <c r="AW8" s="16" t="s">
        <v>37</v>
      </c>
      <c r="AX8" s="14">
        <v>-1.0</v>
      </c>
      <c r="AY8" s="17">
        <f t="shared" si="28"/>
        <v>3</v>
      </c>
    </row>
    <row r="9" ht="15.75" customHeight="1">
      <c r="A9" s="9">
        <v>8.0</v>
      </c>
      <c r="B9" s="10">
        <v>45222.66012390047</v>
      </c>
      <c r="C9" s="11" t="s">
        <v>89</v>
      </c>
      <c r="D9" s="11" t="s">
        <v>90</v>
      </c>
      <c r="E9" s="12">
        <v>343833.0</v>
      </c>
      <c r="F9" s="13">
        <f t="shared" si="1"/>
        <v>3</v>
      </c>
      <c r="G9" s="13">
        <f t="shared" si="2"/>
        <v>4</v>
      </c>
      <c r="H9" s="13">
        <f t="shared" si="3"/>
        <v>3</v>
      </c>
      <c r="I9" s="13">
        <f t="shared" si="4"/>
        <v>8</v>
      </c>
      <c r="J9" s="13">
        <f t="shared" si="5"/>
        <v>3</v>
      </c>
      <c r="K9" s="13">
        <f t="shared" si="6"/>
        <v>3</v>
      </c>
      <c r="L9" s="14">
        <v>1.0</v>
      </c>
      <c r="M9" s="11" t="s">
        <v>91</v>
      </c>
      <c r="N9" s="14">
        <f t="shared" si="7"/>
        <v>0</v>
      </c>
      <c r="O9" s="14">
        <f t="shared" si="8"/>
        <v>1</v>
      </c>
      <c r="P9" s="14">
        <f t="shared" si="9"/>
        <v>1</v>
      </c>
      <c r="Q9" s="14">
        <f t="shared" si="10"/>
        <v>0</v>
      </c>
      <c r="R9" s="14">
        <f t="shared" si="11"/>
        <v>0</v>
      </c>
      <c r="S9" s="14">
        <f t="shared" si="12"/>
        <v>-1</v>
      </c>
      <c r="T9" s="14">
        <f t="shared" si="13"/>
        <v>0</v>
      </c>
      <c r="U9" s="14">
        <f t="shared" si="14"/>
        <v>0</v>
      </c>
      <c r="V9" s="11" t="s">
        <v>27</v>
      </c>
      <c r="W9" s="14">
        <f t="shared" si="15"/>
        <v>1</v>
      </c>
      <c r="X9" s="14">
        <f t="shared" si="16"/>
        <v>1</v>
      </c>
      <c r="Y9" s="14">
        <f t="shared" si="17"/>
        <v>0</v>
      </c>
      <c r="Z9" s="14">
        <f t="shared" si="18"/>
        <v>1</v>
      </c>
      <c r="AA9" s="14">
        <f t="shared" si="19"/>
        <v>1</v>
      </c>
      <c r="AB9" s="14">
        <f t="shared" si="20"/>
        <v>0</v>
      </c>
      <c r="AC9" s="11" t="s">
        <v>28</v>
      </c>
      <c r="AD9" s="14">
        <v>1.0</v>
      </c>
      <c r="AE9" s="11" t="s">
        <v>92</v>
      </c>
      <c r="AF9" s="15">
        <f t="shared" si="21"/>
        <v>57.51448261</v>
      </c>
      <c r="AG9" s="16" t="s">
        <v>30</v>
      </c>
      <c r="AH9" s="14">
        <f>IF(AE9="",0,IF(EXACT(RIGHT(AE9,2),"dB"),IF(ABS(VALUE(LEFT(AE9,FIND(" ",AE9,1)))-AF9)&lt;=0.5,1,0),-1))</f>
        <v>1</v>
      </c>
      <c r="AI9" s="11" t="s">
        <v>93</v>
      </c>
      <c r="AJ9" s="15">
        <f t="shared" si="22"/>
        <v>60.52478256</v>
      </c>
      <c r="AK9" s="16" t="s">
        <v>30</v>
      </c>
      <c r="AL9" s="14">
        <f>IF(AI9="",0,IF(EXACT(RIGHT(AI9,2),"dB"),IF(ABS(VALUE(LEFT(AI9,FIND(" ",AI9,1)))-AJ9)&lt;=0.5,1,0),-1))</f>
        <v>1</v>
      </c>
      <c r="AM9" s="11" t="s">
        <v>94</v>
      </c>
      <c r="AN9" s="15">
        <f t="shared" si="24"/>
        <v>49.08515322</v>
      </c>
      <c r="AO9" s="16" t="s">
        <v>33</v>
      </c>
      <c r="AP9" s="14">
        <v>-1.0</v>
      </c>
      <c r="AQ9" s="11" t="s">
        <v>95</v>
      </c>
      <c r="AR9" s="15">
        <f t="shared" si="25"/>
        <v>1.086792453</v>
      </c>
      <c r="AS9" s="16" t="s">
        <v>35</v>
      </c>
      <c r="AT9" s="14">
        <f t="shared" ref="AT9:AT11" si="32">IF(AQ9="",0,IF(EXACT(RIGHT(AQ9,1),"s"),IF(ABS(VALUE(LEFT(AQ9,FIND(" ",AQ9,1)))-AR9)&lt;=0.5,1,0),-1))</f>
        <v>1</v>
      </c>
      <c r="AU9" s="11" t="s">
        <v>96</v>
      </c>
      <c r="AV9" s="15">
        <f t="shared" si="26"/>
        <v>2.178257731</v>
      </c>
      <c r="AW9" s="16" t="s">
        <v>37</v>
      </c>
      <c r="AX9" s="14">
        <f t="shared" ref="AX9:AX11" si="33">IF(AU9="",0,IF(EXACT(RIGHT(AU9,1),"m"),IF(ABS(VALUE(LEFT(AU9,FIND(" ",AU9,1)))-AV9)&lt;=0.1,1,-1),-1))</f>
        <v>1</v>
      </c>
      <c r="AY9" s="17">
        <f t="shared" si="28"/>
        <v>10</v>
      </c>
    </row>
    <row r="10" ht="15.75" customHeight="1">
      <c r="A10" s="9">
        <v>9.0</v>
      </c>
      <c r="B10" s="10">
        <v>45222.66152790509</v>
      </c>
      <c r="C10" s="11" t="s">
        <v>97</v>
      </c>
      <c r="D10" s="11" t="s">
        <v>98</v>
      </c>
      <c r="E10" s="12">
        <v>365865.0</v>
      </c>
      <c r="F10" s="13">
        <f t="shared" si="1"/>
        <v>3</v>
      </c>
      <c r="G10" s="13">
        <f t="shared" si="2"/>
        <v>6</v>
      </c>
      <c r="H10" s="13">
        <f t="shared" si="3"/>
        <v>5</v>
      </c>
      <c r="I10" s="13">
        <f t="shared" si="4"/>
        <v>8</v>
      </c>
      <c r="J10" s="13">
        <f t="shared" si="5"/>
        <v>6</v>
      </c>
      <c r="K10" s="13">
        <f t="shared" si="6"/>
        <v>5</v>
      </c>
      <c r="L10" s="14">
        <v>1.0</v>
      </c>
      <c r="M10" s="11" t="s">
        <v>26</v>
      </c>
      <c r="N10" s="14">
        <f t="shared" si="7"/>
        <v>0</v>
      </c>
      <c r="O10" s="14">
        <f t="shared" si="8"/>
        <v>1</v>
      </c>
      <c r="P10" s="14">
        <f t="shared" si="9"/>
        <v>1</v>
      </c>
      <c r="Q10" s="14">
        <f t="shared" si="10"/>
        <v>0</v>
      </c>
      <c r="R10" s="14">
        <f t="shared" si="11"/>
        <v>1</v>
      </c>
      <c r="S10" s="14">
        <f t="shared" si="12"/>
        <v>0</v>
      </c>
      <c r="T10" s="14">
        <f t="shared" si="13"/>
        <v>0</v>
      </c>
      <c r="U10" s="14">
        <f t="shared" si="14"/>
        <v>1</v>
      </c>
      <c r="V10" s="11" t="s">
        <v>99</v>
      </c>
      <c r="W10" s="14">
        <f t="shared" si="15"/>
        <v>1</v>
      </c>
      <c r="X10" s="14">
        <f t="shared" si="16"/>
        <v>0</v>
      </c>
      <c r="Y10" s="14">
        <f t="shared" si="17"/>
        <v>0</v>
      </c>
      <c r="Z10" s="14">
        <f t="shared" si="18"/>
        <v>1</v>
      </c>
      <c r="AA10" s="14">
        <f t="shared" si="19"/>
        <v>1</v>
      </c>
      <c r="AB10" s="14">
        <f t="shared" si="20"/>
        <v>0</v>
      </c>
      <c r="AC10" s="11" t="s">
        <v>28</v>
      </c>
      <c r="AD10" s="14">
        <v>1.0</v>
      </c>
      <c r="AE10" s="20" t="s">
        <v>100</v>
      </c>
      <c r="AF10" s="15">
        <f t="shared" si="21"/>
        <v>59.03623946</v>
      </c>
      <c r="AG10" s="16" t="s">
        <v>30</v>
      </c>
      <c r="AH10" s="14">
        <v>0.0</v>
      </c>
      <c r="AI10" s="20" t="s">
        <v>101</v>
      </c>
      <c r="AJ10" s="15">
        <f t="shared" si="22"/>
        <v>62.04653942</v>
      </c>
      <c r="AK10" s="16" t="s">
        <v>30</v>
      </c>
      <c r="AL10" s="14">
        <v>0.0</v>
      </c>
      <c r="AM10" s="11" t="s">
        <v>102</v>
      </c>
      <c r="AN10" s="15">
        <f t="shared" si="24"/>
        <v>52.44727495</v>
      </c>
      <c r="AO10" s="16" t="s">
        <v>33</v>
      </c>
      <c r="AP10" s="14">
        <v>1.0</v>
      </c>
      <c r="AQ10" s="11" t="s">
        <v>103</v>
      </c>
      <c r="AR10" s="15">
        <f t="shared" si="25"/>
        <v>1.142857143</v>
      </c>
      <c r="AS10" s="16" t="s">
        <v>35</v>
      </c>
      <c r="AT10" s="14">
        <f t="shared" si="32"/>
        <v>-1</v>
      </c>
      <c r="AU10" s="11" t="s">
        <v>104</v>
      </c>
      <c r="AV10" s="15">
        <f t="shared" si="26"/>
        <v>2.475371752</v>
      </c>
      <c r="AW10" s="16" t="s">
        <v>37</v>
      </c>
      <c r="AX10" s="14">
        <f t="shared" si="33"/>
        <v>1</v>
      </c>
      <c r="AY10" s="17">
        <f t="shared" si="28"/>
        <v>10</v>
      </c>
    </row>
    <row r="11" ht="15.75" customHeight="1">
      <c r="A11" s="21">
        <v>10.0</v>
      </c>
      <c r="B11" s="22">
        <v>45222.662132893514</v>
      </c>
      <c r="C11" s="23" t="s">
        <v>105</v>
      </c>
      <c r="D11" s="23" t="s">
        <v>106</v>
      </c>
      <c r="E11" s="24">
        <v>307205.0</v>
      </c>
      <c r="F11" s="25">
        <f t="shared" si="1"/>
        <v>3</v>
      </c>
      <c r="G11" s="25">
        <f t="shared" si="2"/>
        <v>0</v>
      </c>
      <c r="H11" s="25">
        <f t="shared" si="3"/>
        <v>7</v>
      </c>
      <c r="I11" s="25">
        <f t="shared" si="4"/>
        <v>2</v>
      </c>
      <c r="J11" s="25">
        <f t="shared" si="5"/>
        <v>0</v>
      </c>
      <c r="K11" s="25">
        <f t="shared" si="6"/>
        <v>5</v>
      </c>
      <c r="L11" s="26">
        <v>1.0</v>
      </c>
      <c r="M11" s="23" t="s">
        <v>26</v>
      </c>
      <c r="N11" s="26">
        <f t="shared" si="7"/>
        <v>0</v>
      </c>
      <c r="O11" s="26">
        <f t="shared" si="8"/>
        <v>1</v>
      </c>
      <c r="P11" s="26">
        <f t="shared" si="9"/>
        <v>1</v>
      </c>
      <c r="Q11" s="26">
        <f t="shared" si="10"/>
        <v>0</v>
      </c>
      <c r="R11" s="26">
        <f t="shared" si="11"/>
        <v>1</v>
      </c>
      <c r="S11" s="26">
        <f t="shared" si="12"/>
        <v>0</v>
      </c>
      <c r="T11" s="26">
        <f t="shared" si="13"/>
        <v>0</v>
      </c>
      <c r="U11" s="26">
        <f t="shared" si="14"/>
        <v>1</v>
      </c>
      <c r="V11" s="23" t="s">
        <v>27</v>
      </c>
      <c r="W11" s="26">
        <f t="shared" si="15"/>
        <v>1</v>
      </c>
      <c r="X11" s="26">
        <f t="shared" si="16"/>
        <v>1</v>
      </c>
      <c r="Y11" s="26">
        <f t="shared" si="17"/>
        <v>0</v>
      </c>
      <c r="Z11" s="26">
        <f t="shared" si="18"/>
        <v>1</v>
      </c>
      <c r="AA11" s="26">
        <f t="shared" si="19"/>
        <v>1</v>
      </c>
      <c r="AB11" s="26">
        <f t="shared" si="20"/>
        <v>0</v>
      </c>
      <c r="AC11" s="23" t="s">
        <v>83</v>
      </c>
      <c r="AD11" s="26">
        <v>-1.0</v>
      </c>
      <c r="AE11" s="23" t="s">
        <v>107</v>
      </c>
      <c r="AF11" s="27">
        <f t="shared" si="21"/>
        <v>60.02059991</v>
      </c>
      <c r="AG11" s="28" t="s">
        <v>30</v>
      </c>
      <c r="AH11" s="26">
        <f>IF(AE11="",0,IF(EXACT(RIGHT(AE11,2),"dB"),IF(ABS(VALUE(LEFT(AE11,FIND(" ",AE11,1)))-AF11)&lt;=0.5,1,0),-1))</f>
        <v>1</v>
      </c>
      <c r="AI11" s="23" t="s">
        <v>108</v>
      </c>
      <c r="AJ11" s="27">
        <f t="shared" si="22"/>
        <v>63.03089987</v>
      </c>
      <c r="AK11" s="28" t="s">
        <v>30</v>
      </c>
      <c r="AL11" s="26">
        <f>IF(AI11="",0,IF(EXACT(RIGHT(AI11,2),"dB"),IF(ABS(VALUE(LEFT(AI11,FIND(" ",AI11,1)))-AJ11)&lt;=0.5,1,0),-1))</f>
        <v>1</v>
      </c>
      <c r="AM11" s="29" t="s">
        <v>109</v>
      </c>
      <c r="AN11" s="27">
        <f t="shared" si="24"/>
        <v>48.20818754</v>
      </c>
      <c r="AO11" s="28" t="s">
        <v>33</v>
      </c>
      <c r="AP11" s="26">
        <v>-1.0</v>
      </c>
      <c r="AQ11" s="23" t="s">
        <v>110</v>
      </c>
      <c r="AR11" s="27">
        <f t="shared" si="25"/>
        <v>1.28</v>
      </c>
      <c r="AS11" s="28" t="s">
        <v>35</v>
      </c>
      <c r="AT11" s="26">
        <f t="shared" si="32"/>
        <v>1</v>
      </c>
      <c r="AU11" s="23" t="s">
        <v>111</v>
      </c>
      <c r="AV11" s="27">
        <f t="shared" si="26"/>
        <v>2.339006449</v>
      </c>
      <c r="AW11" s="28" t="s">
        <v>37</v>
      </c>
      <c r="AX11" s="26">
        <f t="shared" si="33"/>
        <v>-1</v>
      </c>
      <c r="AY11" s="30">
        <f t="shared" si="28"/>
        <v>9</v>
      </c>
    </row>
    <row r="12" ht="15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</row>
    <row r="13" ht="15.75" customHeight="1">
      <c r="A13" s="32" t="s">
        <v>112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3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</row>
    <row r="14" ht="15.75" customHeight="1">
      <c r="A14" s="34" t="s">
        <v>113</v>
      </c>
      <c r="B14" s="35"/>
      <c r="C14" s="35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</row>
    <row r="15" ht="15.75" customHeight="1">
      <c r="A15" s="36" t="s">
        <v>114</v>
      </c>
      <c r="B15" s="37"/>
      <c r="C15" s="37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</row>
    <row r="16" ht="15.75" customHeight="1">
      <c r="A16" s="38" t="s">
        <v>115</v>
      </c>
      <c r="B16" s="39"/>
      <c r="C16" s="39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</row>
    <row r="17" ht="15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</row>
    <row r="18" ht="15.75" customHeight="1">
      <c r="A18" s="32" t="s">
        <v>116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</row>
    <row r="19" ht="15.75" customHeight="1">
      <c r="A19" s="40" t="s">
        <v>117</v>
      </c>
      <c r="B19" s="40"/>
      <c r="C19" s="4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</row>
    <row r="20" ht="15.7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</row>
    <row r="21" ht="15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 t="s">
        <v>118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</row>
    <row r="22" ht="15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</row>
    <row r="23" ht="15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</row>
    <row r="24" ht="15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</row>
    <row r="25" ht="15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</row>
    <row r="26" ht="15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</row>
    <row r="27" ht="15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</row>
    <row r="28" ht="15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</row>
    <row r="29" ht="15.7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</row>
    <row r="30" ht="15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</row>
    <row r="31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</row>
    <row r="32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</row>
    <row r="33" ht="15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</row>
    <row r="34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</row>
    <row r="35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</row>
    <row r="37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</row>
    <row r="38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</row>
    <row r="39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</row>
    <row r="40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</row>
    <row r="41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</row>
    <row r="42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</row>
    <row r="43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</row>
    <row r="44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</row>
    <row r="45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</row>
    <row r="46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</row>
    <row r="47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</row>
    <row r="48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</row>
    <row r="49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</row>
    <row r="50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</row>
    <row r="51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</row>
    <row r="52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</row>
    <row r="53" ht="1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ht="15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ht="15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ht="15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8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</row>
    <row r="69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  <row r="7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</row>
    <row r="7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</row>
    <row r="72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</row>
    <row r="73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</row>
    <row r="74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</row>
    <row r="75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</row>
    <row r="76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</row>
    <row r="77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</row>
    <row r="78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</row>
    <row r="79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</row>
    <row r="80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</row>
    <row r="8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</row>
    <row r="82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</row>
    <row r="83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</row>
    <row r="84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</row>
    <row r="85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</row>
    <row r="86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</row>
    <row r="87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</row>
    <row r="88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</row>
    <row r="89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</row>
    <row r="90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</row>
    <row r="9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</row>
    <row r="92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</row>
    <row r="93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</row>
    <row r="94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</row>
    <row r="95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</row>
    <row r="96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</row>
    <row r="97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</row>
    <row r="98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</row>
    <row r="99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</row>
    <row r="100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</row>
    <row r="10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</row>
    <row r="102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</row>
    <row r="103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</row>
    <row r="104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</row>
    <row r="105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</row>
    <row r="106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</row>
    <row r="107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</row>
    <row r="108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</row>
    <row r="109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</row>
    <row r="110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</row>
    <row r="11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</row>
    <row r="112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</row>
    <row r="113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</row>
    <row r="114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</row>
    <row r="115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</row>
    <row r="116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</row>
    <row r="117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</row>
    <row r="118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</row>
    <row r="119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</row>
    <row r="120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</row>
    <row r="1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</row>
    <row r="122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</row>
    <row r="123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</row>
    <row r="124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</row>
    <row r="125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</row>
    <row r="126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</row>
    <row r="127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</row>
    <row r="128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</row>
    <row r="129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</row>
    <row r="130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</row>
    <row r="13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</row>
    <row r="132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</row>
    <row r="133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</row>
    <row r="134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</row>
    <row r="135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</row>
    <row r="136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</row>
    <row r="137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</row>
    <row r="138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</row>
    <row r="139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</row>
    <row r="140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</row>
    <row r="14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</row>
    <row r="142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</row>
    <row r="143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</row>
    <row r="144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</row>
    <row r="145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</row>
    <row r="146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</row>
    <row r="147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</row>
    <row r="148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</row>
    <row r="149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</row>
    <row r="150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</row>
    <row r="15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</row>
    <row r="152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</row>
    <row r="153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</row>
    <row r="154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</row>
    <row r="155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</row>
    <row r="156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</row>
    <row r="157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</row>
    <row r="158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</row>
    <row r="159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</row>
    <row r="160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</row>
    <row r="16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</row>
    <row r="162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</row>
    <row r="163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</row>
    <row r="164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</row>
    <row r="165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</row>
    <row r="166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</row>
    <row r="167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</row>
    <row r="168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</row>
    <row r="169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</row>
    <row r="170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</row>
    <row r="171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</row>
    <row r="172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</row>
    <row r="173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</row>
    <row r="174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</row>
    <row r="175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</row>
    <row r="176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</row>
    <row r="177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</row>
    <row r="178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</row>
    <row r="179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</row>
    <row r="180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</row>
    <row r="181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</row>
    <row r="182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</row>
    <row r="183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</row>
    <row r="184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</row>
    <row r="185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</row>
    <row r="186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</row>
    <row r="187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</row>
    <row r="188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</row>
    <row r="189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</row>
    <row r="190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</row>
    <row r="191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</row>
    <row r="192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</row>
    <row r="193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</row>
    <row r="194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</row>
    <row r="195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</row>
    <row r="196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</row>
    <row r="197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</row>
    <row r="198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</row>
    <row r="199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</row>
    <row r="200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</row>
    <row r="201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</row>
    <row r="202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</row>
    <row r="203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</row>
    <row r="204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</row>
    <row r="205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</row>
    <row r="206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</row>
    <row r="207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</row>
    <row r="208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</row>
    <row r="209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</row>
    <row r="210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</row>
    <row r="211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</row>
    <row r="212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</row>
    <row r="213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</row>
    <row r="214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</row>
    <row r="215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</row>
    <row r="216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</row>
    <row r="217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</row>
    <row r="218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</row>
    <row r="219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</row>
    <row r="220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</row>
    <row r="221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</row>
    <row r="222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</row>
    <row r="223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</row>
    <row r="224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</row>
    <row r="225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</row>
    <row r="2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</row>
    <row r="227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</row>
    <row r="228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</row>
    <row r="229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</row>
    <row r="230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</row>
    <row r="231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</row>
    <row r="232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</row>
    <row r="233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</row>
    <row r="234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</row>
    <row r="235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</row>
    <row r="23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</row>
    <row r="237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</row>
    <row r="238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</row>
    <row r="239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</row>
    <row r="240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</row>
    <row r="241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</row>
    <row r="242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</row>
    <row r="243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</row>
    <row r="244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</row>
    <row r="245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</row>
    <row r="24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</row>
    <row r="247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</row>
    <row r="248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</row>
    <row r="249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</row>
    <row r="250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</row>
    <row r="251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</row>
    <row r="252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</row>
    <row r="253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</row>
    <row r="254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</row>
    <row r="255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</row>
    <row r="25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</row>
    <row r="257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</row>
    <row r="258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</row>
    <row r="259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</row>
    <row r="260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</row>
    <row r="261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</row>
    <row r="262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</row>
    <row r="263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</row>
    <row r="264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</row>
    <row r="265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</row>
    <row r="26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</row>
    <row r="267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</row>
    <row r="268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</row>
    <row r="269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</row>
    <row r="270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</row>
    <row r="271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</row>
    <row r="272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</row>
    <row r="273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</row>
    <row r="274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</row>
    <row r="275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</row>
    <row r="27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</row>
    <row r="277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</row>
    <row r="278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</row>
    <row r="279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</row>
    <row r="280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</row>
    <row r="281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</row>
    <row r="282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</row>
    <row r="283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</row>
    <row r="284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</row>
    <row r="285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</row>
    <row r="28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</row>
    <row r="287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</row>
    <row r="288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</row>
    <row r="289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</row>
    <row r="290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</row>
    <row r="291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</row>
    <row r="292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</row>
    <row r="293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</row>
    <row r="294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</row>
    <row r="295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</row>
    <row r="29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</row>
    <row r="297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</row>
    <row r="298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</row>
    <row r="299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</row>
    <row r="300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</row>
    <row r="301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</row>
    <row r="302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</row>
    <row r="303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</row>
    <row r="304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</row>
    <row r="305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</row>
    <row r="30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</row>
    <row r="307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</row>
    <row r="308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</row>
    <row r="309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</row>
    <row r="310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</row>
    <row r="311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</row>
    <row r="312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</row>
    <row r="313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</row>
    <row r="314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</row>
    <row r="315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</row>
    <row r="31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</row>
    <row r="317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</row>
    <row r="318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</row>
    <row r="319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</row>
    <row r="320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</row>
    <row r="321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</row>
    <row r="322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</row>
    <row r="323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</row>
    <row r="324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</row>
    <row r="325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</row>
    <row r="3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</row>
    <row r="327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</row>
    <row r="328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</row>
    <row r="32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</row>
    <row r="330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</row>
    <row r="331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</row>
    <row r="332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</row>
    <row r="333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</row>
    <row r="334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</row>
    <row r="335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</row>
    <row r="33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</row>
    <row r="337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</row>
    <row r="338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</row>
    <row r="33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</row>
    <row r="340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</row>
    <row r="341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</row>
    <row r="342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</row>
    <row r="343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</row>
    <row r="344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</row>
    <row r="345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</row>
    <row r="34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</row>
    <row r="347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</row>
    <row r="348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</row>
    <row r="349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</row>
    <row r="350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</row>
    <row r="351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</row>
    <row r="352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</row>
    <row r="353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</row>
    <row r="354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</row>
    <row r="355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</row>
    <row r="35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</row>
    <row r="357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</row>
    <row r="358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</row>
    <row r="359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</row>
    <row r="360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</row>
    <row r="361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</row>
    <row r="362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</row>
    <row r="363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</row>
    <row r="364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</row>
    <row r="365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</row>
    <row r="36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</row>
    <row r="367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</row>
    <row r="368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</row>
    <row r="369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</row>
    <row r="370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</row>
    <row r="371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</row>
    <row r="372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</row>
    <row r="373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</row>
    <row r="374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</row>
    <row r="375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</row>
    <row r="37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</row>
    <row r="377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</row>
    <row r="378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</row>
    <row r="379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</row>
    <row r="380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</row>
    <row r="381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</row>
    <row r="382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</row>
    <row r="383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</row>
    <row r="384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</row>
    <row r="385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</row>
    <row r="38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</row>
    <row r="387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</row>
    <row r="388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</row>
    <row r="389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</row>
    <row r="390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</row>
    <row r="391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</row>
    <row r="392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</row>
    <row r="393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</row>
    <row r="394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</row>
    <row r="395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</row>
    <row r="39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</row>
    <row r="397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</row>
    <row r="398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</row>
    <row r="399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</row>
    <row r="400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</row>
    <row r="401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</row>
    <row r="402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</row>
    <row r="403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</row>
    <row r="404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</row>
    <row r="405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</row>
    <row r="40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</row>
    <row r="407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</row>
    <row r="408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</row>
    <row r="409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</row>
    <row r="410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</row>
    <row r="411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</row>
    <row r="412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</row>
    <row r="413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</row>
    <row r="414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</row>
    <row r="415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</row>
    <row r="41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</row>
    <row r="417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</row>
    <row r="418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</row>
    <row r="419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</row>
    <row r="420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</row>
    <row r="421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</row>
    <row r="422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</row>
    <row r="423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</row>
    <row r="424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</row>
    <row r="425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</row>
    <row r="4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</row>
    <row r="427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</row>
    <row r="428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</row>
    <row r="429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</row>
    <row r="430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</row>
    <row r="431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</row>
    <row r="432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</row>
    <row r="433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</row>
    <row r="434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</row>
    <row r="435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</row>
    <row r="43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</row>
    <row r="437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</row>
    <row r="438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</row>
    <row r="439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</row>
    <row r="440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</row>
    <row r="441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</row>
    <row r="442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</row>
    <row r="443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</row>
    <row r="444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</row>
    <row r="445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</row>
    <row r="44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</row>
    <row r="447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</row>
    <row r="448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</row>
    <row r="449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</row>
    <row r="450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</row>
    <row r="451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</row>
    <row r="452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</row>
    <row r="453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</row>
    <row r="454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</row>
    <row r="455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</row>
    <row r="45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</row>
    <row r="457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</row>
    <row r="458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</row>
    <row r="459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</row>
    <row r="460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</row>
    <row r="461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</row>
    <row r="462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</row>
    <row r="463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</row>
    <row r="464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</row>
    <row r="465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</row>
    <row r="46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</row>
    <row r="467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</row>
    <row r="468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</row>
    <row r="469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</row>
    <row r="470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</row>
    <row r="471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</row>
    <row r="472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</row>
    <row r="473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</row>
    <row r="474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</row>
    <row r="475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</row>
    <row r="47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</row>
    <row r="477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</row>
    <row r="478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</row>
    <row r="479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</row>
    <row r="480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</row>
    <row r="481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</row>
    <row r="482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</row>
    <row r="483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</row>
    <row r="484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</row>
    <row r="485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</row>
    <row r="48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</row>
    <row r="487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</row>
    <row r="488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</row>
    <row r="489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</row>
    <row r="490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</row>
    <row r="491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</row>
    <row r="492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</row>
    <row r="493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</row>
    <row r="494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</row>
    <row r="495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</row>
    <row r="49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</row>
    <row r="497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</row>
    <row r="498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</row>
    <row r="499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</row>
    <row r="500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</row>
    <row r="501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</row>
    <row r="502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</row>
    <row r="503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</row>
    <row r="504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</row>
    <row r="505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</row>
    <row r="50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</row>
    <row r="507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</row>
    <row r="508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</row>
    <row r="509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</row>
    <row r="510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</row>
    <row r="511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</row>
    <row r="512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</row>
    <row r="513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</row>
    <row r="514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</row>
    <row r="515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</row>
    <row r="51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</row>
    <row r="517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</row>
    <row r="518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</row>
    <row r="519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</row>
    <row r="520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</row>
    <row r="521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</row>
    <row r="522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</row>
    <row r="523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</row>
    <row r="524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</row>
    <row r="525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</row>
    <row r="5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</row>
    <row r="527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</row>
    <row r="528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</row>
    <row r="529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</row>
    <row r="530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</row>
    <row r="531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</row>
    <row r="532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</row>
    <row r="533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</row>
    <row r="534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</row>
    <row r="535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</row>
    <row r="53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</row>
    <row r="537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</row>
    <row r="538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</row>
    <row r="539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</row>
    <row r="540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</row>
    <row r="541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</row>
    <row r="542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</row>
    <row r="543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</row>
    <row r="544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</row>
    <row r="545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</row>
    <row r="54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</row>
    <row r="547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</row>
    <row r="548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</row>
    <row r="549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</row>
    <row r="550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</row>
    <row r="551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</row>
    <row r="552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</row>
    <row r="553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</row>
    <row r="554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</row>
    <row r="555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</row>
    <row r="55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</row>
    <row r="557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</row>
    <row r="558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</row>
    <row r="559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</row>
    <row r="560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</row>
    <row r="561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</row>
    <row r="562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</row>
    <row r="563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</row>
    <row r="564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</row>
    <row r="565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</row>
    <row r="56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</row>
    <row r="567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</row>
    <row r="568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</row>
    <row r="569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</row>
    <row r="570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</row>
    <row r="571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</row>
    <row r="572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</row>
    <row r="573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</row>
    <row r="574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</row>
    <row r="575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</row>
    <row r="57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</row>
    <row r="577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</row>
    <row r="578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</row>
    <row r="579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</row>
    <row r="580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</row>
    <row r="581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</row>
    <row r="582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</row>
    <row r="583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</row>
    <row r="584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</row>
    <row r="585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</row>
    <row r="58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</row>
    <row r="587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</row>
    <row r="588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</row>
    <row r="589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</row>
    <row r="590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</row>
    <row r="591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</row>
    <row r="592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</row>
    <row r="593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</row>
    <row r="594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</row>
    <row r="595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</row>
    <row r="59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</row>
    <row r="597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</row>
    <row r="598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</row>
    <row r="599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</row>
    <row r="600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</row>
    <row r="601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</row>
    <row r="602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</row>
    <row r="603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</row>
    <row r="604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</row>
    <row r="605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</row>
    <row r="60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</row>
    <row r="607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</row>
    <row r="608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</row>
    <row r="609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</row>
    <row r="610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</row>
    <row r="611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</row>
    <row r="612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</row>
    <row r="613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</row>
    <row r="614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</row>
    <row r="615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</row>
    <row r="61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</row>
    <row r="617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</row>
    <row r="618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</row>
    <row r="619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</row>
    <row r="620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</row>
    <row r="621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</row>
    <row r="622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</row>
    <row r="623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</row>
    <row r="624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</row>
    <row r="625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</row>
    <row r="6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</row>
    <row r="627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</row>
    <row r="628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</row>
    <row r="629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</row>
    <row r="630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</row>
    <row r="631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</row>
    <row r="632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</row>
    <row r="633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</row>
    <row r="634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</row>
    <row r="635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</row>
    <row r="63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</row>
    <row r="637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</row>
    <row r="638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</row>
    <row r="639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</row>
    <row r="640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</row>
    <row r="641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</row>
    <row r="642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</row>
    <row r="643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</row>
    <row r="644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</row>
    <row r="645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</row>
    <row r="64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</row>
    <row r="647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</row>
    <row r="648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</row>
    <row r="649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</row>
    <row r="650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</row>
    <row r="651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</row>
    <row r="652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</row>
    <row r="653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</row>
    <row r="654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</row>
    <row r="655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</row>
    <row r="65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</row>
    <row r="657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</row>
    <row r="658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</row>
    <row r="659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</row>
    <row r="660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</row>
    <row r="661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</row>
    <row r="662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</row>
    <row r="663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</row>
    <row r="664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</row>
    <row r="665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</row>
    <row r="66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</row>
    <row r="667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</row>
    <row r="668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</row>
    <row r="669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</row>
    <row r="670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</row>
    <row r="671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</row>
    <row r="672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</row>
    <row r="673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</row>
    <row r="674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</row>
    <row r="675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</row>
    <row r="67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</row>
    <row r="677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</row>
    <row r="678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</row>
    <row r="679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</row>
    <row r="680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</row>
    <row r="681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</row>
    <row r="682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</row>
    <row r="683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</row>
    <row r="684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</row>
    <row r="685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</row>
    <row r="68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</row>
    <row r="687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</row>
    <row r="688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</row>
    <row r="68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</row>
    <row r="690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</row>
    <row r="691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</row>
    <row r="69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</row>
    <row r="693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</row>
    <row r="694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</row>
    <row r="695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</row>
    <row r="69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</row>
    <row r="697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</row>
    <row r="698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</row>
    <row r="69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</row>
    <row r="700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</row>
    <row r="701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</row>
    <row r="70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</row>
    <row r="703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</row>
    <row r="704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</row>
    <row r="705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</row>
    <row r="70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</row>
    <row r="707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</row>
    <row r="708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</row>
    <row r="70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</row>
    <row r="710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</row>
    <row r="711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</row>
    <row r="71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</row>
    <row r="713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</row>
    <row r="714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</row>
    <row r="715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</row>
    <row r="71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</row>
    <row r="717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</row>
    <row r="718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</row>
    <row r="71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</row>
    <row r="720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</row>
    <row r="721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</row>
    <row r="72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</row>
    <row r="723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</row>
    <row r="724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</row>
    <row r="725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</row>
    <row r="7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</row>
    <row r="727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</row>
    <row r="728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</row>
    <row r="72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</row>
    <row r="730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</row>
    <row r="731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</row>
    <row r="7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</row>
    <row r="733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</row>
    <row r="734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</row>
    <row r="735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</row>
    <row r="73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</row>
    <row r="737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</row>
    <row r="738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</row>
    <row r="73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</row>
    <row r="740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</row>
    <row r="741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</row>
    <row r="74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</row>
    <row r="743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</row>
    <row r="744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</row>
    <row r="745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</row>
    <row r="74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</row>
    <row r="747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</row>
    <row r="748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</row>
    <row r="74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</row>
    <row r="750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</row>
    <row r="751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</row>
    <row r="75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</row>
    <row r="753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</row>
    <row r="754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</row>
    <row r="755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</row>
    <row r="75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</row>
    <row r="757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</row>
    <row r="758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</row>
    <row r="75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</row>
    <row r="760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</row>
    <row r="761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</row>
    <row r="76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</row>
    <row r="763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</row>
    <row r="764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</row>
    <row r="765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</row>
    <row r="76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</row>
    <row r="767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</row>
    <row r="768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</row>
    <row r="76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</row>
    <row r="770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</row>
    <row r="771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</row>
    <row r="77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</row>
    <row r="773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</row>
    <row r="774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</row>
    <row r="775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</row>
    <row r="77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</row>
    <row r="777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</row>
    <row r="778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</row>
    <row r="77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</row>
    <row r="780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</row>
    <row r="781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</row>
    <row r="78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</row>
    <row r="783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</row>
    <row r="784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</row>
    <row r="785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</row>
    <row r="78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</row>
    <row r="787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</row>
    <row r="788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</row>
    <row r="78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</row>
    <row r="790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</row>
    <row r="791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</row>
    <row r="79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</row>
    <row r="793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</row>
    <row r="794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</row>
    <row r="795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</row>
    <row r="79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</row>
    <row r="797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</row>
    <row r="798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</row>
    <row r="79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</row>
    <row r="800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</row>
    <row r="801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</row>
    <row r="80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</row>
    <row r="803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</row>
    <row r="804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</row>
    <row r="805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</row>
    <row r="80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</row>
    <row r="807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</row>
    <row r="808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</row>
    <row r="80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</row>
    <row r="810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</row>
    <row r="811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</row>
    <row r="81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</row>
    <row r="813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</row>
    <row r="814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</row>
    <row r="815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</row>
    <row r="81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</row>
    <row r="817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</row>
    <row r="818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</row>
    <row r="81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</row>
    <row r="820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</row>
    <row r="821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</row>
    <row r="82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</row>
    <row r="823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</row>
    <row r="824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</row>
    <row r="825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</row>
    <row r="8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</row>
    <row r="827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</row>
    <row r="828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</row>
    <row r="82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</row>
    <row r="830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</row>
    <row r="831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</row>
    <row r="8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</row>
    <row r="833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</row>
    <row r="834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</row>
    <row r="835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</row>
    <row r="83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</row>
    <row r="837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</row>
    <row r="838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</row>
    <row r="83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</row>
    <row r="840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</row>
    <row r="841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</row>
    <row r="84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</row>
    <row r="843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</row>
    <row r="844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</row>
    <row r="845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</row>
    <row r="84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</row>
    <row r="847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</row>
    <row r="848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</row>
    <row r="84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</row>
    <row r="850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</row>
    <row r="851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</row>
    <row r="85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</row>
    <row r="853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</row>
    <row r="854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</row>
    <row r="855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</row>
    <row r="85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</row>
    <row r="857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</row>
    <row r="858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</row>
    <row r="85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</row>
    <row r="860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</row>
    <row r="861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</row>
    <row r="86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</row>
    <row r="863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</row>
    <row r="864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</row>
    <row r="865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</row>
    <row r="86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</row>
    <row r="867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</row>
    <row r="868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</row>
    <row r="86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</row>
    <row r="870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</row>
    <row r="871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</row>
    <row r="87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</row>
    <row r="873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</row>
    <row r="874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</row>
    <row r="875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</row>
    <row r="87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</row>
    <row r="877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</row>
    <row r="878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</row>
    <row r="87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</row>
    <row r="880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</row>
    <row r="881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</row>
    <row r="88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</row>
    <row r="883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</row>
    <row r="884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</row>
    <row r="885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</row>
    <row r="88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</row>
    <row r="887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</row>
    <row r="888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</row>
    <row r="88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</row>
    <row r="890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</row>
    <row r="891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</row>
    <row r="89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</row>
    <row r="893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</row>
    <row r="894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</row>
    <row r="895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</row>
    <row r="89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</row>
    <row r="897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</row>
    <row r="898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</row>
    <row r="89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</row>
    <row r="900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</row>
    <row r="901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</row>
    <row r="90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</row>
    <row r="903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</row>
    <row r="904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</row>
    <row r="905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</row>
    <row r="90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</row>
    <row r="907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</row>
    <row r="908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</row>
    <row r="909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</row>
    <row r="910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</row>
    <row r="911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</row>
    <row r="91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</row>
    <row r="913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</row>
    <row r="914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</row>
    <row r="915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</row>
    <row r="91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</row>
    <row r="917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</row>
    <row r="918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</row>
    <row r="919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</row>
    <row r="920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</row>
    <row r="921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</row>
    <row r="92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</row>
    <row r="923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</row>
    <row r="924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</row>
    <row r="925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</row>
    <row r="9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</row>
    <row r="927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</row>
    <row r="928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</row>
    <row r="929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</row>
    <row r="930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</row>
    <row r="931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</row>
    <row r="9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</row>
    <row r="933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</row>
    <row r="934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</row>
    <row r="935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</row>
    <row r="93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</row>
    <row r="937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</row>
    <row r="938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</row>
    <row r="939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</row>
    <row r="940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</row>
    <row r="941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</row>
    <row r="94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</row>
    <row r="943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</row>
    <row r="944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</row>
    <row r="945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</row>
    <row r="94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</row>
    <row r="947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</row>
    <row r="948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</row>
    <row r="949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</row>
    <row r="950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</row>
    <row r="951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</row>
    <row r="95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</row>
    <row r="953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</row>
    <row r="954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</row>
    <row r="955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</row>
    <row r="95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</row>
    <row r="957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</row>
    <row r="958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</row>
    <row r="959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</row>
    <row r="960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</row>
    <row r="961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</row>
    <row r="96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</row>
    <row r="963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</row>
    <row r="964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</row>
    <row r="965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</row>
    <row r="96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</row>
    <row r="967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</row>
    <row r="968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</row>
    <row r="969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</row>
    <row r="970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</row>
    <row r="971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</row>
    <row r="97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</row>
    <row r="973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</row>
    <row r="974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</row>
    <row r="975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</row>
    <row r="97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</row>
    <row r="977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</row>
    <row r="978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</row>
    <row r="979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</row>
    <row r="980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</row>
    <row r="981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</row>
    <row r="98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</row>
    <row r="983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</row>
    <row r="984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</row>
    <row r="985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</row>
    <row r="98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</row>
    <row r="987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</row>
    <row r="988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</row>
    <row r="989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</row>
    <row r="990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</row>
    <row r="991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</row>
    <row r="99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</row>
    <row r="993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</row>
    <row r="994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</row>
    <row r="995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</row>
    <row r="99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</row>
    <row r="997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</row>
    <row r="998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</row>
    <row r="999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</row>
    <row r="1000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</row>
  </sheetData>
  <conditionalFormatting sqref="N2:U11">
    <cfRule type="cellIs" dxfId="0" priority="1" operator="equal">
      <formula>0</formula>
    </cfRule>
  </conditionalFormatting>
  <conditionalFormatting sqref="N2:U11 W2:AB11">
    <cfRule type="cellIs" dxfId="0" priority="2" operator="equal">
      <formula>0</formula>
    </cfRule>
  </conditionalFormatting>
  <conditionalFormatting sqref="N2:U11 W2:AB11 AD2:AD11">
    <cfRule type="cellIs" dxfId="0" priority="3" operator="equal">
      <formula>0</formula>
    </cfRule>
  </conditionalFormatting>
  <conditionalFormatting sqref="N2:U11 W2:AB11 AD2:AD11">
    <cfRule type="cellIs" dxfId="1" priority="4" operator="equal">
      <formula>-1</formula>
    </cfRule>
  </conditionalFormatting>
  <conditionalFormatting sqref="N2:U11 W2:AB11 AD2:AD11">
    <cfRule type="cellIs" dxfId="2" priority="5" operator="equal">
      <formula>1</formula>
    </cfRule>
  </conditionalFormatting>
  <conditionalFormatting sqref="AH2:AH11 N11:U11 W11:AB11">
    <cfRule type="cellIs" dxfId="0" priority="6" operator="equal">
      <formula>0</formula>
    </cfRule>
  </conditionalFormatting>
  <conditionalFormatting sqref="AH2:AH11 N11:U11 W11:AB11">
    <cfRule type="cellIs" dxfId="1" priority="7" operator="equal">
      <formula>-1</formula>
    </cfRule>
  </conditionalFormatting>
  <conditionalFormatting sqref="AH2:AH11 N11:U11 W11:AB11">
    <cfRule type="cellIs" dxfId="2" priority="8" operator="equal">
      <formula>1</formula>
    </cfRule>
  </conditionalFormatting>
  <conditionalFormatting sqref="AL2:AL11">
    <cfRule type="cellIs" dxfId="0" priority="9" operator="equal">
      <formula>0</formula>
    </cfRule>
  </conditionalFormatting>
  <conditionalFormatting sqref="AL2:AL11">
    <cfRule type="cellIs" dxfId="1" priority="10" operator="equal">
      <formula>-1</formula>
    </cfRule>
  </conditionalFormatting>
  <conditionalFormatting sqref="AL2:AL11">
    <cfRule type="cellIs" dxfId="2" priority="11" operator="equal">
      <formula>1</formula>
    </cfRule>
  </conditionalFormatting>
  <conditionalFormatting sqref="AP2:AP11">
    <cfRule type="cellIs" dxfId="0" priority="12" operator="equal">
      <formula>0</formula>
    </cfRule>
  </conditionalFormatting>
  <conditionalFormatting sqref="AP2:AP11">
    <cfRule type="cellIs" dxfId="1" priority="13" operator="equal">
      <formula>-1</formula>
    </cfRule>
  </conditionalFormatting>
  <conditionalFormatting sqref="AP2:AP11">
    <cfRule type="cellIs" dxfId="2" priority="14" operator="equal">
      <formula>1</formula>
    </cfRule>
  </conditionalFormatting>
  <conditionalFormatting sqref="AT2:AT11">
    <cfRule type="cellIs" dxfId="0" priority="15" operator="equal">
      <formula>0</formula>
    </cfRule>
  </conditionalFormatting>
  <conditionalFormatting sqref="AT2:AT11">
    <cfRule type="cellIs" dxfId="1" priority="16" operator="equal">
      <formula>-1</formula>
    </cfRule>
  </conditionalFormatting>
  <conditionalFormatting sqref="AT2:AT11">
    <cfRule type="cellIs" dxfId="2" priority="17" operator="equal">
      <formula>1</formula>
    </cfRule>
  </conditionalFormatting>
  <conditionalFormatting sqref="AX2:AX11">
    <cfRule type="cellIs" dxfId="0" priority="18" operator="equal">
      <formula>0</formula>
    </cfRule>
  </conditionalFormatting>
  <conditionalFormatting sqref="AX2:AX11">
    <cfRule type="cellIs" dxfId="1" priority="19" operator="equal">
      <formula>-1</formula>
    </cfRule>
  </conditionalFormatting>
  <conditionalFormatting sqref="AX2:AX11">
    <cfRule type="cellIs" dxfId="2" priority="20" operator="equal">
      <formula>1</formula>
    </cfRule>
  </conditionalFormatting>
  <conditionalFormatting sqref="L2:L11">
    <cfRule type="cellIs" dxfId="0" priority="21" operator="equal">
      <formula>0</formula>
    </cfRule>
  </conditionalFormatting>
  <conditionalFormatting sqref="L2:L11">
    <cfRule type="cellIs" dxfId="1" priority="22" operator="equal">
      <formula>-1</formula>
    </cfRule>
  </conditionalFormatting>
  <conditionalFormatting sqref="L2:L11">
    <cfRule type="cellIs" dxfId="2" priority="23" operator="equal">
      <formula>1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>
      <c r="A1" s="41" t="s">
        <v>119</v>
      </c>
    </row>
    <row r="2" ht="14.25" customHeight="1"/>
    <row r="3" ht="14.25" customHeight="1">
      <c r="A3" s="42" t="s">
        <v>4</v>
      </c>
    </row>
    <row r="4" ht="14.25" customHeight="1">
      <c r="A4" s="43" t="s">
        <v>5</v>
      </c>
      <c r="B4" s="44" t="s">
        <v>6</v>
      </c>
      <c r="C4" s="44" t="s">
        <v>7</v>
      </c>
      <c r="D4" s="44" t="s">
        <v>8</v>
      </c>
      <c r="E4" s="44" t="s">
        <v>9</v>
      </c>
      <c r="F4" s="45" t="s">
        <v>10</v>
      </c>
    </row>
    <row r="5" ht="14.25" customHeight="1">
      <c r="A5" s="46">
        <v>1.0</v>
      </c>
      <c r="B5" s="47">
        <v>2.0</v>
      </c>
      <c r="C5" s="47">
        <v>3.0</v>
      </c>
      <c r="D5" s="47">
        <v>4.0</v>
      </c>
      <c r="E5" s="47">
        <v>5.0</v>
      </c>
      <c r="F5" s="48">
        <v>6.0</v>
      </c>
    </row>
    <row r="6" ht="14.25" customHeight="1"/>
    <row r="7" ht="14.25" customHeight="1">
      <c r="A7" s="49" t="s">
        <v>120</v>
      </c>
      <c r="G7" s="50" t="s">
        <v>121</v>
      </c>
    </row>
    <row r="8" ht="14.25" customHeight="1">
      <c r="A8" s="51" t="s">
        <v>122</v>
      </c>
    </row>
    <row r="9" ht="14.25" customHeight="1">
      <c r="A9" s="52" t="s">
        <v>123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ht="14.25" customHeight="1">
      <c r="A10" s="52" t="s">
        <v>124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ht="14.25" customHeight="1">
      <c r="A11" s="51" t="s">
        <v>125</v>
      </c>
    </row>
    <row r="12" ht="14.25" customHeight="1">
      <c r="A12" s="52" t="s">
        <v>126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ht="14.25" customHeight="1">
      <c r="A13" s="51" t="s">
        <v>127</v>
      </c>
    </row>
    <row r="14" ht="14.25" customHeight="1">
      <c r="A14" s="51" t="s">
        <v>128</v>
      </c>
    </row>
    <row r="15" ht="14.25" customHeight="1">
      <c r="A15" s="52" t="s">
        <v>129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ht="14.25" customHeight="1">
      <c r="A16" s="53"/>
    </row>
    <row r="17" ht="14.25" customHeight="1">
      <c r="A17" s="49" t="s">
        <v>130</v>
      </c>
      <c r="G17" s="50" t="s">
        <v>121</v>
      </c>
    </row>
    <row r="18" ht="14.25" customHeight="1">
      <c r="A18" s="52" t="s">
        <v>131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ht="14.25" customHeight="1">
      <c r="A19" s="52" t="s">
        <v>132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ht="14.25" customHeight="1">
      <c r="A20" s="51" t="s">
        <v>133</v>
      </c>
    </row>
    <row r="21" ht="14.25" customHeight="1">
      <c r="A21" s="52" t="s">
        <v>134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ht="14.25" customHeight="1">
      <c r="A22" s="52" t="s">
        <v>135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ht="14.25" customHeight="1">
      <c r="A23" s="51" t="s">
        <v>136</v>
      </c>
    </row>
    <row r="24" ht="14.25" customHeight="1">
      <c r="A24" s="54"/>
    </row>
    <row r="25" ht="45.0" customHeight="1">
      <c r="A25" s="55" t="s">
        <v>137</v>
      </c>
      <c r="J25" s="50" t="s">
        <v>138</v>
      </c>
    </row>
    <row r="26" ht="14.25" customHeight="1">
      <c r="A26" s="51" t="s">
        <v>139</v>
      </c>
    </row>
    <row r="27" ht="14.25" customHeight="1">
      <c r="A27" s="51" t="s">
        <v>140</v>
      </c>
    </row>
    <row r="28" ht="14.25" customHeight="1">
      <c r="A28" s="52" t="s">
        <v>141</v>
      </c>
      <c r="B28" s="35"/>
      <c r="C28" s="35"/>
    </row>
    <row r="29" ht="14.25" customHeight="1">
      <c r="A29" s="51" t="s">
        <v>142</v>
      </c>
    </row>
    <row r="30" ht="14.25" customHeight="1">
      <c r="A30" s="51" t="s">
        <v>143</v>
      </c>
    </row>
    <row r="31" ht="14.25" customHeight="1">
      <c r="A31" s="53"/>
    </row>
    <row r="32" ht="34.5" customHeight="1">
      <c r="A32" s="55" t="s">
        <v>144</v>
      </c>
      <c r="L32" s="50" t="s">
        <v>145</v>
      </c>
    </row>
    <row r="33" ht="14.25" customHeight="1">
      <c r="A33" s="56" t="s">
        <v>146</v>
      </c>
      <c r="B33" s="42">
        <f>100+F5</f>
        <v>106</v>
      </c>
      <c r="C33" s="42" t="s">
        <v>30</v>
      </c>
      <c r="D33" s="42" t="s">
        <v>147</v>
      </c>
      <c r="E33" s="42">
        <f>50+E5</f>
        <v>55</v>
      </c>
      <c r="F33" s="42" t="s">
        <v>37</v>
      </c>
      <c r="J33" s="57" t="s">
        <v>148</v>
      </c>
      <c r="K33" s="58">
        <f>Lw-11-20*LOG10(d)</f>
        <v>60.19274621</v>
      </c>
      <c r="L33" s="59" t="s">
        <v>30</v>
      </c>
    </row>
    <row r="34" ht="14.25" customHeight="1">
      <c r="A34" s="60"/>
    </row>
    <row r="35" ht="14.25" customHeight="1">
      <c r="A35" s="49" t="s">
        <v>149</v>
      </c>
      <c r="L35" s="50" t="s">
        <v>145</v>
      </c>
    </row>
    <row r="36" ht="14.25" customHeight="1">
      <c r="A36" s="42" t="s">
        <v>150</v>
      </c>
      <c r="B36" s="42">
        <v>2.0</v>
      </c>
      <c r="J36" s="61" t="s">
        <v>151</v>
      </c>
      <c r="K36" s="58">
        <f>Lw-11-20*LOG10(d)+10*LOG10(Q)</f>
        <v>63.20304617</v>
      </c>
      <c r="L36" s="59" t="s">
        <v>30</v>
      </c>
    </row>
    <row r="37" ht="14.25" customHeight="1">
      <c r="A37" s="56"/>
    </row>
    <row r="38" ht="48.0" customHeight="1">
      <c r="A38" s="55" t="s">
        <v>152</v>
      </c>
      <c r="L38" s="50" t="s">
        <v>145</v>
      </c>
    </row>
    <row r="39" ht="14.25" customHeight="1">
      <c r="A39" s="56" t="s">
        <v>153</v>
      </c>
      <c r="B39" s="42">
        <f>2000+F5*100</f>
        <v>2600</v>
      </c>
      <c r="C39" s="42" t="s">
        <v>154</v>
      </c>
      <c r="D39" s="42" t="s">
        <v>155</v>
      </c>
      <c r="E39" s="42">
        <f>85+E5</f>
        <v>90</v>
      </c>
      <c r="F39" s="42" t="s">
        <v>33</v>
      </c>
      <c r="G39" s="42" t="s">
        <v>156</v>
      </c>
      <c r="H39" s="42">
        <f>50+D5*5</f>
        <v>70</v>
      </c>
      <c r="I39" s="42" t="s">
        <v>37</v>
      </c>
      <c r="J39" s="42" t="s">
        <v>157</v>
      </c>
      <c r="K39" s="42">
        <v>50.0</v>
      </c>
      <c r="L39" s="42" t="s">
        <v>158</v>
      </c>
    </row>
    <row r="40" ht="14.25" customHeight="1">
      <c r="A40" s="56" t="s">
        <v>159</v>
      </c>
      <c r="C40" s="42">
        <f>V/N*1000</f>
        <v>19.23076923</v>
      </c>
      <c r="D40" s="42" t="s">
        <v>37</v>
      </c>
    </row>
    <row r="41" ht="14.25" customHeight="1">
      <c r="A41" s="56" t="s">
        <v>160</v>
      </c>
      <c r="D41" s="42">
        <f>Lw1v-10*LOG10(a)</f>
        <v>77.16003344</v>
      </c>
      <c r="E41" s="42" t="s">
        <v>161</v>
      </c>
      <c r="J41" s="57" t="s">
        <v>162</v>
      </c>
      <c r="K41" s="58">
        <f>Lw_1-6-10*LOG10(dd)</f>
        <v>52.70905304</v>
      </c>
      <c r="L41" s="59" t="s">
        <v>33</v>
      </c>
    </row>
    <row r="42" ht="14.25" customHeight="1">
      <c r="A42" s="56" t="s">
        <v>163</v>
      </c>
    </row>
    <row r="43" ht="33.0" customHeight="1">
      <c r="A43" s="55" t="s">
        <v>164</v>
      </c>
      <c r="L43" s="50" t="s">
        <v>145</v>
      </c>
    </row>
    <row r="44" ht="14.25" customHeight="1">
      <c r="A44" s="56" t="s">
        <v>165</v>
      </c>
      <c r="B44" s="42">
        <f>300+F5*20</f>
        <v>420</v>
      </c>
      <c r="C44" s="42" t="s">
        <v>166</v>
      </c>
      <c r="D44" s="42" t="s">
        <v>167</v>
      </c>
      <c r="E44" s="42">
        <f>50+E5</f>
        <v>55</v>
      </c>
      <c r="F44" s="42" t="s">
        <v>168</v>
      </c>
      <c r="J44" s="57" t="s">
        <v>169</v>
      </c>
      <c r="K44" s="58">
        <f>0.16*Vol/Atot</f>
        <v>1.221818182</v>
      </c>
      <c r="L44" s="59" t="s">
        <v>35</v>
      </c>
    </row>
    <row r="45" ht="14.25" customHeight="1"/>
    <row r="46" ht="30.75" customHeight="1">
      <c r="A46" s="55" t="s">
        <v>170</v>
      </c>
      <c r="L46" s="50" t="s">
        <v>145</v>
      </c>
    </row>
    <row r="47" ht="14.25" customHeight="1">
      <c r="A47" s="50" t="s">
        <v>171</v>
      </c>
      <c r="B47" s="42">
        <f>3+F5/2</f>
        <v>6</v>
      </c>
    </row>
    <row r="48" ht="14.25" customHeight="1">
      <c r="J48" s="57" t="s">
        <v>172</v>
      </c>
      <c r="K48" s="62">
        <f>SQRT(QQ*Atot/16/PI())</f>
        <v>2.562253189</v>
      </c>
      <c r="L48" s="59" t="s">
        <v>37</v>
      </c>
    </row>
    <row r="49" ht="14.25" customHeight="1">
      <c r="A49" s="56" t="s">
        <v>163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mergeCells count="5">
    <mergeCell ref="A25:I25"/>
    <mergeCell ref="A32:I32"/>
    <mergeCell ref="A38:I38"/>
    <mergeCell ref="A43:I43"/>
    <mergeCell ref="A46:I46"/>
  </mergeCells>
  <printOptions/>
  <pageMargins bottom="0.75" footer="0.0" header="0.0" left="0.7" right="0.7" top="0.75"/>
  <pageSetup orientation="landscape"/>
  <drawing r:id="rId1"/>
</worksheet>
</file>