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Farina\Corsi\Applied-Acoustics\2022\Tests\"/>
    </mc:Choice>
  </mc:AlternateContent>
  <xr:revisionPtr revIDLastSave="0" documentId="13_ncr:1_{007CCB3A-D7FE-4270-8C0C-7D4B8A2619F3}" xr6:coauthVersionLast="47" xr6:coauthVersionMax="47" xr10:uidLastSave="{00000000-0000-0000-0000-000000000000}"/>
  <bookViews>
    <workbookView xWindow="983" yWindow="-98" windowWidth="22155" windowHeight="14595" xr2:uid="{00000000-000D-0000-FFFF-FFFF00000000}"/>
  </bookViews>
  <sheets>
    <sheet name="Solution" sheetId="2" r:id="rId1"/>
    <sheet name="Test-2022-11-14" sheetId="1" r:id="rId2"/>
  </sheets>
  <definedNames>
    <definedName name="A">Solution!$B$4</definedName>
    <definedName name="Adir">Solution!$I$47</definedName>
    <definedName name="Afig8">Solution!$K$48</definedName>
    <definedName name="Alpha">Solution!$H$45</definedName>
    <definedName name="Arefl">Solution!$C$46</definedName>
    <definedName name="B">Solution!$C$4</definedName>
    <definedName name="CC">Solution!$D$4</definedName>
    <definedName name="D">Solution!$E$4</definedName>
    <definedName name="dt">Solution!$C$34</definedName>
    <definedName name="E">Solution!$F$4</definedName>
    <definedName name="F">Solution!$G$4</definedName>
    <definedName name="SNratio">Solution!$F$58</definedName>
    <definedName name="STI_1">Solution!$B$58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0" i="1" l="1"/>
  <c r="AU9" i="1"/>
  <c r="AU8" i="1"/>
  <c r="AU7" i="1"/>
  <c r="AU6" i="1"/>
  <c r="AU5" i="1"/>
  <c r="AU4" i="1"/>
  <c r="AU3" i="1"/>
  <c r="AU2" i="1"/>
  <c r="AR10" i="1"/>
  <c r="AR9" i="1"/>
  <c r="AR8" i="1"/>
  <c r="AR7" i="1"/>
  <c r="AR6" i="1"/>
  <c r="AR5" i="1"/>
  <c r="AR4" i="1"/>
  <c r="AR3" i="1"/>
  <c r="AR2" i="1"/>
  <c r="AN10" i="1"/>
  <c r="AN9" i="1"/>
  <c r="AN8" i="1"/>
  <c r="AN7" i="1"/>
  <c r="AN6" i="1"/>
  <c r="AN5" i="1"/>
  <c r="AN4" i="1"/>
  <c r="AN3" i="1"/>
  <c r="AN2" i="1"/>
  <c r="K48" i="2"/>
  <c r="C46" i="2"/>
  <c r="T3" i="1"/>
  <c r="U3" i="1"/>
  <c r="V3" i="1"/>
  <c r="W3" i="1"/>
  <c r="X3" i="1"/>
  <c r="T4" i="1"/>
  <c r="U4" i="1"/>
  <c r="V4" i="1"/>
  <c r="W4" i="1"/>
  <c r="X4" i="1"/>
  <c r="T5" i="1"/>
  <c r="U5" i="1"/>
  <c r="V5" i="1"/>
  <c r="W5" i="1"/>
  <c r="X5" i="1"/>
  <c r="T6" i="1"/>
  <c r="U6" i="1"/>
  <c r="V6" i="1"/>
  <c r="W6" i="1"/>
  <c r="X6" i="1"/>
  <c r="T7" i="1"/>
  <c r="U7" i="1"/>
  <c r="V7" i="1"/>
  <c r="W7" i="1"/>
  <c r="X7" i="1"/>
  <c r="T8" i="1"/>
  <c r="U8" i="1"/>
  <c r="V8" i="1"/>
  <c r="W8" i="1"/>
  <c r="X8" i="1"/>
  <c r="T9" i="1"/>
  <c r="U9" i="1"/>
  <c r="V9" i="1"/>
  <c r="W9" i="1"/>
  <c r="X9" i="1"/>
  <c r="T10" i="1"/>
  <c r="U10" i="1"/>
  <c r="V10" i="1"/>
  <c r="W10" i="1"/>
  <c r="X10" i="1"/>
  <c r="X2" i="1"/>
  <c r="W2" i="1"/>
  <c r="V2" i="1"/>
  <c r="U2" i="1"/>
  <c r="T2" i="1"/>
  <c r="M3" i="1"/>
  <c r="N3" i="1"/>
  <c r="O3" i="1"/>
  <c r="P3" i="1"/>
  <c r="Q3" i="1"/>
  <c r="R3" i="1"/>
  <c r="M4" i="1"/>
  <c r="N4" i="1"/>
  <c r="O4" i="1"/>
  <c r="P4" i="1"/>
  <c r="Q4" i="1"/>
  <c r="R4" i="1"/>
  <c r="M5" i="1"/>
  <c r="N5" i="1"/>
  <c r="O5" i="1"/>
  <c r="P5" i="1"/>
  <c r="Q5" i="1"/>
  <c r="R5" i="1"/>
  <c r="M6" i="1"/>
  <c r="N6" i="1"/>
  <c r="O6" i="1"/>
  <c r="P6" i="1"/>
  <c r="Q6" i="1"/>
  <c r="R6" i="1"/>
  <c r="M7" i="1"/>
  <c r="N7" i="1"/>
  <c r="O7" i="1"/>
  <c r="P7" i="1"/>
  <c r="Q7" i="1"/>
  <c r="R7" i="1"/>
  <c r="M8" i="1"/>
  <c r="N8" i="1"/>
  <c r="O8" i="1"/>
  <c r="P8" i="1"/>
  <c r="Q8" i="1"/>
  <c r="R8" i="1"/>
  <c r="M9" i="1"/>
  <c r="N9" i="1"/>
  <c r="O9" i="1"/>
  <c r="P9" i="1"/>
  <c r="Q9" i="1"/>
  <c r="R9" i="1"/>
  <c r="M10" i="1"/>
  <c r="N10" i="1"/>
  <c r="O10" i="1"/>
  <c r="P10" i="1"/>
  <c r="Q10" i="1"/>
  <c r="R10" i="1"/>
  <c r="R2" i="1"/>
  <c r="Q2" i="1"/>
  <c r="P2" i="1"/>
  <c r="O2" i="1"/>
  <c r="N2" i="1"/>
  <c r="M2" i="1"/>
  <c r="F10" i="1"/>
  <c r="F9" i="1"/>
  <c r="F8" i="1"/>
  <c r="F7" i="1"/>
  <c r="F6" i="1"/>
  <c r="F5" i="1"/>
  <c r="F4" i="1"/>
  <c r="G4" i="1" s="1"/>
  <c r="F3" i="1"/>
  <c r="F2" i="1"/>
  <c r="F58" i="2"/>
  <c r="B58" i="2"/>
  <c r="J61" i="2" s="1"/>
  <c r="B54" i="2"/>
  <c r="E54" i="2" s="1"/>
  <c r="J54" i="2" s="1"/>
  <c r="C45" i="2"/>
  <c r="H45" i="2"/>
  <c r="B38" i="2"/>
  <c r="B39" i="2" s="1"/>
  <c r="C34" i="2"/>
  <c r="G34" i="2" s="1"/>
  <c r="G10" i="1" l="1"/>
  <c r="H4" i="1"/>
  <c r="I4" i="1" s="1"/>
  <c r="G7" i="1"/>
  <c r="G8" i="1"/>
  <c r="H8" i="1" s="1"/>
  <c r="G5" i="1"/>
  <c r="H5" i="1" s="1"/>
  <c r="G3" i="1"/>
  <c r="H3" i="1" s="1"/>
  <c r="I3" i="1" s="1"/>
  <c r="G2" i="1"/>
  <c r="G6" i="1"/>
  <c r="H6" i="1" s="1"/>
  <c r="G9" i="1"/>
  <c r="J49" i="2" l="1"/>
  <c r="I5" i="1"/>
  <c r="J5" i="1" s="1"/>
  <c r="H10" i="1"/>
  <c r="J4" i="1"/>
  <c r="K4" i="1" s="1"/>
  <c r="AJ4" i="1" s="1"/>
  <c r="H7" i="1"/>
  <c r="H9" i="1"/>
  <c r="I8" i="1"/>
  <c r="J8" i="1" s="1"/>
  <c r="K8" i="1" s="1"/>
  <c r="AJ8" i="1" s="1"/>
  <c r="I6" i="1"/>
  <c r="J6" i="1" s="1"/>
  <c r="H2" i="1"/>
  <c r="J3" i="1"/>
  <c r="K3" i="1" s="1"/>
  <c r="AJ3" i="1" s="1"/>
  <c r="AB3" i="1" l="1"/>
  <c r="AF3" i="1"/>
  <c r="AB8" i="1"/>
  <c r="AF8" i="1"/>
  <c r="AB4" i="1"/>
  <c r="AF4" i="1"/>
  <c r="K5" i="1"/>
  <c r="AJ5" i="1" s="1"/>
  <c r="I10" i="1"/>
  <c r="I7" i="1"/>
  <c r="I2" i="1"/>
  <c r="K6" i="1"/>
  <c r="AJ6" i="1" s="1"/>
  <c r="I9" i="1"/>
  <c r="J9" i="1" s="1"/>
  <c r="AB5" i="1" l="1"/>
  <c r="AF5" i="1"/>
  <c r="AB6" i="1"/>
  <c r="AF6" i="1"/>
  <c r="J10" i="1"/>
  <c r="K10" i="1" s="1"/>
  <c r="AJ10" i="1" s="1"/>
  <c r="J2" i="1"/>
  <c r="K2" i="1" s="1"/>
  <c r="AJ2" i="1" s="1"/>
  <c r="K9" i="1"/>
  <c r="AJ9" i="1" s="1"/>
  <c r="J7" i="1"/>
  <c r="K7" i="1" s="1"/>
  <c r="AJ7" i="1" s="1"/>
  <c r="AB9" i="1" l="1"/>
  <c r="AF9" i="1"/>
  <c r="AB2" i="1"/>
  <c r="AF2" i="1"/>
  <c r="AB7" i="1"/>
  <c r="AF7" i="1"/>
  <c r="AB10" i="1"/>
  <c r="A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Angelo Farina</author>
  </authors>
  <commentList>
    <comment ref="AB2" authorId="0" shapeId="0" xr:uid="{4BA65C12-5F81-4CFD-BDE9-B0417B487A1F}">
      <text>
        <r>
          <rPr>
            <b/>
            <sz val="9"/>
            <color indexed="81"/>
            <rFont val="Tahoma"/>
            <family val="2"/>
          </rPr>
          <t>Angelo Farina:</t>
        </r>
        <r>
          <rPr>
            <sz val="9"/>
            <color indexed="81"/>
            <rFont val="Tahoma"/>
            <family val="2"/>
          </rPr>
          <t xml:space="preserve">
</t>
        </r>
      </text>
    </comment>
    <comment ref="AF2" authorId="0" shapeId="0" xr:uid="{29065304-B637-483B-999B-F4CC508FED1D}">
      <text>
        <r>
          <rPr>
            <b/>
            <sz val="9"/>
            <color indexed="81"/>
            <rFont val="Tahoma"/>
            <family val="2"/>
          </rPr>
          <t>Angelo Farina:</t>
        </r>
        <r>
          <rPr>
            <sz val="9"/>
            <color indexed="81"/>
            <rFont val="Tahoma"/>
            <family val="2"/>
          </rPr>
          <t xml:space="preserve">
</t>
        </r>
      </text>
    </comment>
    <comment ref="AJ2" authorId="0" shapeId="0" xr:uid="{F1269A48-25EC-4D46-B6DC-A2E75573A9E5}">
      <text>
        <r>
          <rPr>
            <b/>
            <sz val="9"/>
            <color indexed="81"/>
            <rFont val="Tahoma"/>
            <family val="2"/>
          </rPr>
          <t>Angelo Farina:</t>
        </r>
        <r>
          <rPr>
            <sz val="9"/>
            <color indexed="81"/>
            <rFont val="Tahoma"/>
            <family val="2"/>
          </rPr>
          <t xml:space="preserve">
</t>
        </r>
      </text>
    </comment>
    <comment ref="AN2" authorId="0" shapeId="0" xr:uid="{3A4FA15B-393F-4F6C-8F2E-35E5BB8508B5}">
      <text>
        <r>
          <rPr>
            <b/>
            <sz val="9"/>
            <color indexed="81"/>
            <rFont val="Tahoma"/>
            <family val="2"/>
          </rPr>
          <t>Angelo Farina:</t>
        </r>
        <r>
          <rPr>
            <sz val="9"/>
            <color indexed="81"/>
            <rFont val="Tahoma"/>
            <family val="2"/>
          </rPr>
          <t xml:space="preserve">
</t>
        </r>
      </text>
    </comment>
    <comment ref="AR2" authorId="0" shapeId="0" xr:uid="{2C6246B3-F43E-474F-835F-0462D12F1514}">
      <text>
        <r>
          <rPr>
            <b/>
            <sz val="9"/>
            <color indexed="81"/>
            <rFont val="Tahoma"/>
            <family val="2"/>
          </rPr>
          <t>Angelo Farina:</t>
        </r>
        <r>
          <rPr>
            <sz val="9"/>
            <color indexed="81"/>
            <rFont val="Tahoma"/>
            <family val="2"/>
          </rPr>
          <t xml:space="preserve">
</t>
        </r>
      </text>
    </comment>
    <comment ref="AN3" authorId="0" shapeId="0" xr:uid="{CA6CC252-318B-41C1-A08E-FC77A57C1C3B}">
      <text>
        <r>
          <rPr>
            <b/>
            <sz val="9"/>
            <color indexed="81"/>
            <rFont val="Tahoma"/>
            <family val="2"/>
          </rPr>
          <t>Angelo Farina:</t>
        </r>
        <r>
          <rPr>
            <sz val="9"/>
            <color indexed="81"/>
            <rFont val="Tahoma"/>
            <family val="2"/>
          </rPr>
          <t xml:space="preserve">
</t>
        </r>
      </text>
    </comment>
    <comment ref="AR3" authorId="0" shapeId="0" xr:uid="{FE23A6F0-9E5D-46CE-A237-4C9AEC10678C}">
      <text>
        <r>
          <rPr>
            <b/>
            <sz val="9"/>
            <color indexed="81"/>
            <rFont val="Tahoma"/>
            <family val="2"/>
          </rPr>
          <t>Angelo Farina:</t>
        </r>
        <r>
          <rPr>
            <sz val="9"/>
            <color indexed="81"/>
            <rFont val="Tahoma"/>
            <family val="2"/>
          </rPr>
          <t xml:space="preserve">
</t>
        </r>
      </text>
    </comment>
    <comment ref="AN4" authorId="0" shapeId="0" xr:uid="{3EEB8A33-327E-48D4-B8B7-172C71AE7F18}">
      <text>
        <r>
          <rPr>
            <b/>
            <sz val="9"/>
            <color indexed="81"/>
            <rFont val="Tahoma"/>
            <family val="2"/>
          </rPr>
          <t>Angelo Farina:</t>
        </r>
        <r>
          <rPr>
            <sz val="9"/>
            <color indexed="81"/>
            <rFont val="Tahoma"/>
            <family val="2"/>
          </rPr>
          <t xml:space="preserve">
</t>
        </r>
      </text>
    </comment>
    <comment ref="AR4" authorId="0" shapeId="0" xr:uid="{AC869E9A-2A86-46F7-BF6B-632E1E8A7795}">
      <text>
        <r>
          <rPr>
            <b/>
            <sz val="9"/>
            <color indexed="81"/>
            <rFont val="Tahoma"/>
            <family val="2"/>
          </rPr>
          <t>Angelo Farina:</t>
        </r>
        <r>
          <rPr>
            <sz val="9"/>
            <color indexed="81"/>
            <rFont val="Tahoma"/>
            <family val="2"/>
          </rPr>
          <t xml:space="preserve">
</t>
        </r>
      </text>
    </comment>
    <comment ref="AN5" authorId="0" shapeId="0" xr:uid="{0EB08E36-E64A-46D5-A562-A876E55558CA}">
      <text>
        <r>
          <rPr>
            <b/>
            <sz val="9"/>
            <color indexed="81"/>
            <rFont val="Tahoma"/>
            <family val="2"/>
          </rPr>
          <t>Angelo Farina:</t>
        </r>
        <r>
          <rPr>
            <sz val="9"/>
            <color indexed="81"/>
            <rFont val="Tahoma"/>
            <family val="2"/>
          </rPr>
          <t xml:space="preserve">
</t>
        </r>
      </text>
    </comment>
    <comment ref="AR5" authorId="0" shapeId="0" xr:uid="{56553169-0F59-4404-95A1-5BBC8D6AAB6C}">
      <text>
        <r>
          <rPr>
            <b/>
            <sz val="9"/>
            <color indexed="81"/>
            <rFont val="Tahoma"/>
            <family val="2"/>
          </rPr>
          <t>Angelo Farina:</t>
        </r>
        <r>
          <rPr>
            <sz val="9"/>
            <color indexed="81"/>
            <rFont val="Tahoma"/>
            <family val="2"/>
          </rPr>
          <t xml:space="preserve">
</t>
        </r>
      </text>
    </comment>
    <comment ref="AN6" authorId="0" shapeId="0" xr:uid="{36486DC9-EE99-4D51-9A14-63ABBEBEE93D}">
      <text>
        <r>
          <rPr>
            <b/>
            <sz val="9"/>
            <color indexed="81"/>
            <rFont val="Tahoma"/>
            <family val="2"/>
          </rPr>
          <t>Angelo Farina:</t>
        </r>
        <r>
          <rPr>
            <sz val="9"/>
            <color indexed="81"/>
            <rFont val="Tahoma"/>
            <family val="2"/>
          </rPr>
          <t xml:space="preserve">
</t>
        </r>
      </text>
    </comment>
    <comment ref="AR6" authorId="0" shapeId="0" xr:uid="{144683E6-D51A-43C9-AD89-BB42DE30FFBD}">
      <text>
        <r>
          <rPr>
            <b/>
            <sz val="9"/>
            <color indexed="81"/>
            <rFont val="Tahoma"/>
            <family val="2"/>
          </rPr>
          <t>Angelo Farina:</t>
        </r>
        <r>
          <rPr>
            <sz val="9"/>
            <color indexed="81"/>
            <rFont val="Tahoma"/>
            <family val="2"/>
          </rPr>
          <t xml:space="preserve">
</t>
        </r>
      </text>
    </comment>
    <comment ref="AN7" authorId="0" shapeId="0" xr:uid="{0AFFB4DB-D3C7-4711-937E-794C816555CF}">
      <text>
        <r>
          <rPr>
            <b/>
            <sz val="9"/>
            <color indexed="81"/>
            <rFont val="Tahoma"/>
            <family val="2"/>
          </rPr>
          <t>Angelo Farina:</t>
        </r>
        <r>
          <rPr>
            <sz val="9"/>
            <color indexed="81"/>
            <rFont val="Tahoma"/>
            <family val="2"/>
          </rPr>
          <t xml:space="preserve">
</t>
        </r>
      </text>
    </comment>
    <comment ref="AR7" authorId="0" shapeId="0" xr:uid="{4F492141-0255-4CF5-8A44-B297E04D5BA0}">
      <text>
        <r>
          <rPr>
            <b/>
            <sz val="9"/>
            <color indexed="81"/>
            <rFont val="Tahoma"/>
            <family val="2"/>
          </rPr>
          <t>Angelo Farina:</t>
        </r>
        <r>
          <rPr>
            <sz val="9"/>
            <color indexed="81"/>
            <rFont val="Tahoma"/>
            <family val="2"/>
          </rPr>
          <t xml:space="preserve">
</t>
        </r>
      </text>
    </comment>
    <comment ref="AN8" authorId="0" shapeId="0" xr:uid="{5C711763-4C5F-4394-8DED-3DD473BFEA94}">
      <text>
        <r>
          <rPr>
            <b/>
            <sz val="9"/>
            <color indexed="81"/>
            <rFont val="Tahoma"/>
            <family val="2"/>
          </rPr>
          <t>Angelo Farina:</t>
        </r>
        <r>
          <rPr>
            <sz val="9"/>
            <color indexed="81"/>
            <rFont val="Tahoma"/>
            <family val="2"/>
          </rPr>
          <t xml:space="preserve">
</t>
        </r>
      </text>
    </comment>
    <comment ref="AR8" authorId="0" shapeId="0" xr:uid="{E9BA21ED-C4EC-4CEF-8F94-F8ABAD3DEC60}">
      <text>
        <r>
          <rPr>
            <b/>
            <sz val="9"/>
            <color indexed="81"/>
            <rFont val="Tahoma"/>
            <family val="2"/>
          </rPr>
          <t>Angelo Farina:</t>
        </r>
        <r>
          <rPr>
            <sz val="9"/>
            <color indexed="81"/>
            <rFont val="Tahoma"/>
            <family val="2"/>
          </rPr>
          <t xml:space="preserve">
</t>
        </r>
      </text>
    </comment>
    <comment ref="AN9" authorId="0" shapeId="0" xr:uid="{D58FA059-AC03-4371-803A-CEEE5EFABCCA}">
      <text>
        <r>
          <rPr>
            <b/>
            <sz val="9"/>
            <color indexed="81"/>
            <rFont val="Tahoma"/>
            <family val="2"/>
          </rPr>
          <t>Angelo Farina:</t>
        </r>
        <r>
          <rPr>
            <sz val="9"/>
            <color indexed="81"/>
            <rFont val="Tahoma"/>
            <family val="2"/>
          </rPr>
          <t xml:space="preserve">
</t>
        </r>
      </text>
    </comment>
    <comment ref="AR9" authorId="0" shapeId="0" xr:uid="{159840D4-54F7-4532-91DC-7DD840A8A10F}">
      <text>
        <r>
          <rPr>
            <b/>
            <sz val="9"/>
            <color indexed="81"/>
            <rFont val="Tahoma"/>
            <family val="2"/>
          </rPr>
          <t>Angelo Farina:</t>
        </r>
        <r>
          <rPr>
            <sz val="9"/>
            <color indexed="81"/>
            <rFont val="Tahoma"/>
            <family val="2"/>
          </rPr>
          <t xml:space="preserve">
</t>
        </r>
      </text>
    </comment>
    <comment ref="AN10" authorId="0" shapeId="0" xr:uid="{D6A012EC-9290-4F36-976C-CD73B04D7234}">
      <text>
        <r>
          <rPr>
            <b/>
            <sz val="9"/>
            <color indexed="81"/>
            <rFont val="Tahoma"/>
            <family val="2"/>
          </rPr>
          <t>Angelo Farina:</t>
        </r>
        <r>
          <rPr>
            <sz val="9"/>
            <color indexed="81"/>
            <rFont val="Tahoma"/>
            <family val="2"/>
          </rPr>
          <t xml:space="preserve">
</t>
        </r>
      </text>
    </comment>
    <comment ref="AR10" authorId="0" shapeId="0" xr:uid="{AC346CC1-9FBC-4F3F-84F6-40BC1BA5C66A}">
      <text>
        <r>
          <rPr>
            <b/>
            <sz val="9"/>
            <color indexed="81"/>
            <rFont val="Tahoma"/>
            <family val="2"/>
          </rPr>
          <t>Angelo Farina:</t>
        </r>
        <r>
          <rPr>
            <sz val="9"/>
            <color indexed="81"/>
            <rFont val="Tahoma"/>
            <family val="2"/>
          </rPr>
          <t xml:space="preserve">
</t>
        </r>
      </text>
    </comment>
  </commentList>
</comments>
</file>

<file path=xl/sharedStrings.xml><?xml version="1.0" encoding="utf-8"?>
<sst xmlns="http://schemas.openxmlformats.org/spreadsheetml/2006/main" count="214" uniqueCount="139">
  <si>
    <t>Timestamp</t>
  </si>
  <si>
    <t>Email address</t>
  </si>
  <si>
    <t>Surname and Name</t>
  </si>
  <si>
    <t>Matricula</t>
  </si>
  <si>
    <t>1) Check the sentences you think are TRUE</t>
  </si>
  <si>
    <t>2) What's the purpose of using directive microphones when measuring impulse responses?</t>
  </si>
  <si>
    <t>3) What is the most common variant of reverberation time?</t>
  </si>
  <si>
    <t>4) The level decays from -5 dB to -35 dB in 1+F/10 s. Compute the reverberation time T30.</t>
  </si>
  <si>
    <t>5) Clarity C50 in a large auditorium is equal to -(2+F/10) dB. There are no early reflections arriving in the first 50ms following the direct sound. A room treatment is applied, which halves the reverberation time. Compute the new value of Clarity C50.</t>
  </si>
  <si>
    <t>6) In a large room there are no reflections in the first 80 ms following the direct sound. A sound reflector is added on the side of the stage, causing a reflection to arrive with an azimuth of 40+E degrees and an amplitude 1+F/4 dB weaker than the direct sound. Compute Jlf.</t>
  </si>
  <si>
    <t>7) Compute the duration of an MLS signal of order (10+F) at a sampling frequency of 48000 Hz.</t>
  </si>
  <si>
    <t>8) Without considering the background noise, the STI is measured to be equal to 70+F %. Recalculate the value of STI with a S/N ratio of 5+E dB.</t>
  </si>
  <si>
    <t>leonardo.delvecchio@studenti.unipt.it</t>
  </si>
  <si>
    <t>Delvecchio Leonardo</t>
  </si>
  <si>
    <t>An impulse response can only be measured using special test signals (MLS, ESS, etc.), An impulse response can be measured using any kind of test signal (including speech, music, noise), Impulsive sources (balloon, firecracker, pistol, clapper) provide a good S/N ratio</t>
  </si>
  <si>
    <t>T20, measured along the sound decay from -5 to -25 dB</t>
  </si>
  <si>
    <t xml:space="preserve">T30 = 1.4s * 2 = 2.8 s </t>
  </si>
  <si>
    <t>pietro.godi@studenti.unipr.it</t>
  </si>
  <si>
    <t>Godi Pietro</t>
  </si>
  <si>
    <t>An impulse response can be measured using any kind of test signal (including speech, music, noise), The octave-bands spectrum of a perfect pulse (Dirac's Delta) is flat (pink)</t>
  </si>
  <si>
    <t>A pair of &lt;omni&gt; + &lt;figure of 8&gt; is useful for measuring the Lateral Fraction Jlf, A pair of binaural microphones is useful for measuring IACC</t>
  </si>
  <si>
    <t>3,6 s</t>
  </si>
  <si>
    <t>0,2 dB</t>
  </si>
  <si>
    <t>5,46 s</t>
  </si>
  <si>
    <t>florian.bayle@studenti.unipr.it</t>
  </si>
  <si>
    <t>BAYLE Florian</t>
  </si>
  <si>
    <t>An impulse response can be measured using any kind of test signal (including speech, music, noise)</t>
  </si>
  <si>
    <t>A pair of binaural microphones is useful for measuring IACC</t>
  </si>
  <si>
    <t>0.73 s</t>
  </si>
  <si>
    <t>0.9 dB</t>
  </si>
  <si>
    <t>0.00023 s</t>
  </si>
  <si>
    <t>66.52 %</t>
  </si>
  <si>
    <t>filippo.volpi@studenti.unipr.it</t>
  </si>
  <si>
    <t>Volpi Filippo</t>
  </si>
  <si>
    <t>An impulse response can only be measured using special test signals (MLS, ESS, etc.), The octave-bands spectrum of a perfect pulse (Dirac's Delta) is flat (pink), Impulsive sources (balloon, firecracker, pistol, clapper) provide a good S/N ratio</t>
  </si>
  <si>
    <t>3.4 [s]</t>
  </si>
  <si>
    <t>nicola.tunnera@studenti.unipr.it</t>
  </si>
  <si>
    <t>Tunnera Nicola</t>
  </si>
  <si>
    <t>An impulse response can be measured using any kind of test signal (including speech, music, noise), The narrow-band spectrum of a perfect pulse (Dirac's Delta) is flat (white), The octave-bands spectrum of a perfect pulse (Dirac's Delta) is flat (pink)</t>
  </si>
  <si>
    <t>3.2 s</t>
  </si>
  <si>
    <t>0.41 dB</t>
  </si>
  <si>
    <t>1.36 s</t>
  </si>
  <si>
    <t>58 %</t>
  </si>
  <si>
    <t>salvatore.misiano@unipr.it</t>
  </si>
  <si>
    <t>Misiano Salvatore</t>
  </si>
  <si>
    <t>The octave-bands spectrum of a perfect pulse (Dirac's Delta) is flat (pink), Impulsive sources (balloon, firecracker, pistol, clapper) provide a good S/N ratio</t>
  </si>
  <si>
    <t>A pair of &lt;omni&gt; + &lt;figure of 8&gt; is useful for measuring the Lateral Fraction Jlf, A &lt;shotgun&gt; microphone is useful for removing unwanted echoes and reflections</t>
  </si>
  <si>
    <t>2.6 s</t>
  </si>
  <si>
    <t>0.71 dB</t>
  </si>
  <si>
    <t>70.21 %</t>
  </si>
  <si>
    <t>juliette.chevignard@orange.fr</t>
  </si>
  <si>
    <t>Juliette CHEVIGNARD</t>
  </si>
  <si>
    <t>0,73s</t>
  </si>
  <si>
    <t>1,1 dB</t>
  </si>
  <si>
    <t>4364s</t>
  </si>
  <si>
    <t>sarah.ferro-milon@student.junia.com</t>
  </si>
  <si>
    <t>Sarah Ferro Milon</t>
  </si>
  <si>
    <t>T30 = 1,7*2   T30 = 3,4 s</t>
  </si>
  <si>
    <t>C50 = -2,7 + 3    C50 = 0,3 dB</t>
  </si>
  <si>
    <t xml:space="preserve">Jlf = 0,3467 </t>
  </si>
  <si>
    <t>48000/17   MLS = 2823 s</t>
  </si>
  <si>
    <t>hugues.dplx@gmail.com</t>
  </si>
  <si>
    <t>Hugues du Peloux</t>
  </si>
  <si>
    <t>080500</t>
  </si>
  <si>
    <t>2s</t>
  </si>
  <si>
    <t>1 dB</t>
  </si>
  <si>
    <t>4800Hz</t>
  </si>
  <si>
    <t>A</t>
  </si>
  <si>
    <t>B</t>
  </si>
  <si>
    <t>C</t>
  </si>
  <si>
    <t>D</t>
  </si>
  <si>
    <t>E</t>
  </si>
  <si>
    <t>F</t>
  </si>
  <si>
    <t>Test Applied Acoustics - 2022-11-14</t>
  </si>
  <si>
    <r>
      <t>1)</t>
    </r>
    <r>
      <rPr>
        <sz val="7"/>
        <color rgb="FF000000"/>
        <rFont val="Times New Roman"/>
        <family val="1"/>
      </rPr>
      <t xml:space="preserve">    </t>
    </r>
    <r>
      <rPr>
        <b/>
        <sz val="11"/>
        <color rgb="FF000000"/>
        <rFont val="Calibri"/>
        <family val="2"/>
      </rPr>
      <t>Check the sentences you think are always TRUE</t>
    </r>
  </si>
  <si>
    <t>multiple answers allowed: for each answer, 1 point if correct, -1 point if wrong, 0 point if "not selected"</t>
  </si>
  <si>
    <r>
      <t>◻</t>
    </r>
    <r>
      <rPr>
        <sz val="7"/>
        <color rgb="FF000000"/>
        <rFont val="Times New Roman"/>
        <family val="1"/>
      </rPr>
      <t xml:space="preserve">      </t>
    </r>
    <r>
      <rPr>
        <sz val="11"/>
        <color rgb="FF202124"/>
        <rFont val="Calibri"/>
        <family val="2"/>
      </rPr>
      <t>An impulse response can only be measured using an impulsive source</t>
    </r>
  </si>
  <si>
    <r>
      <t>◻</t>
    </r>
    <r>
      <rPr>
        <sz val="7"/>
        <color rgb="FF000000"/>
        <rFont val="Times New Roman"/>
        <family val="1"/>
      </rPr>
      <t xml:space="preserve">      </t>
    </r>
    <r>
      <rPr>
        <sz val="11"/>
        <color rgb="FF202124"/>
        <rFont val="Calibri"/>
        <family val="2"/>
      </rPr>
      <t>An impulse response can only be measured using special test signals (MLS, ESS, etc.)</t>
    </r>
  </si>
  <si>
    <r>
      <t>◻</t>
    </r>
    <r>
      <rPr>
        <sz val="7"/>
        <color rgb="FF000000"/>
        <rFont val="Times New Roman"/>
        <family val="1"/>
      </rPr>
      <t xml:space="preserve">      </t>
    </r>
    <r>
      <rPr>
        <sz val="11"/>
        <color rgb="FF202124"/>
        <rFont val="Calibri"/>
        <family val="2"/>
      </rPr>
      <t>An impulse response can be measured using any kind of test signal (including speech, music, noise)</t>
    </r>
  </si>
  <si>
    <r>
      <t>◻</t>
    </r>
    <r>
      <rPr>
        <sz val="7"/>
        <color rgb="FF000000"/>
        <rFont val="Times New Roman"/>
        <family val="1"/>
      </rPr>
      <t xml:space="preserve">      </t>
    </r>
    <r>
      <rPr>
        <sz val="11"/>
        <color rgb="FF202124"/>
        <rFont val="Calibri"/>
        <family val="2"/>
      </rPr>
      <t>The narrow-band spectrum of a perfect pulse (Dirac's Delta) is flat (white)</t>
    </r>
  </si>
  <si>
    <r>
      <t>◻</t>
    </r>
    <r>
      <rPr>
        <sz val="7"/>
        <color rgb="FF000000"/>
        <rFont val="Times New Roman"/>
        <family val="1"/>
      </rPr>
      <t xml:space="preserve">      </t>
    </r>
    <r>
      <rPr>
        <sz val="11"/>
        <color rgb="FF202124"/>
        <rFont val="Calibri"/>
        <family val="2"/>
      </rPr>
      <t>The octave-bands spectrum of a perfect pulse (Dirac's Delta) is flat (pink)</t>
    </r>
  </si>
  <si>
    <r>
      <t>◻</t>
    </r>
    <r>
      <rPr>
        <sz val="7"/>
        <color rgb="FF000000"/>
        <rFont val="Times New Roman"/>
        <family val="1"/>
      </rPr>
      <t xml:space="preserve">      </t>
    </r>
    <r>
      <rPr>
        <sz val="11"/>
        <color rgb="FF202124"/>
        <rFont val="Calibri"/>
        <family val="2"/>
      </rPr>
      <t>Impulsive sources (balloon, firecracker, pistol, clapper) provide a good S/N ratio</t>
    </r>
  </si>
  <si>
    <r>
      <t xml:space="preserve">2) </t>
    </r>
    <r>
      <rPr>
        <b/>
        <sz val="12"/>
        <color rgb="FF202124"/>
        <rFont val="Calibri"/>
        <family val="2"/>
      </rPr>
      <t>What's the purpose of using directive microphones when measuring impulse responses?</t>
    </r>
  </si>
  <si>
    <r>
      <t>◻</t>
    </r>
    <r>
      <rPr>
        <sz val="7"/>
        <color rgb="FF000000"/>
        <rFont val="Times New Roman"/>
        <family val="1"/>
      </rPr>
      <t xml:space="preserve">      </t>
    </r>
    <r>
      <rPr>
        <sz val="11"/>
        <color rgb="FF202124"/>
        <rFont val="Calibri"/>
        <family val="2"/>
      </rPr>
      <t>There is no purpose, only OMNI microphones are allowed in the ISO 3382 standard</t>
    </r>
  </si>
  <si>
    <r>
      <t>◻</t>
    </r>
    <r>
      <rPr>
        <sz val="7"/>
        <color rgb="FF000000"/>
        <rFont val="Times New Roman"/>
        <family val="1"/>
      </rPr>
      <t xml:space="preserve">      </t>
    </r>
    <r>
      <rPr>
        <sz val="11"/>
        <color rgb="FF202124"/>
        <rFont val="Calibri"/>
        <family val="2"/>
      </rPr>
      <t>A pair of &lt;omni&gt; + &lt;figure of 8&gt; is useful for measuring the Lateral Fraction Jlf</t>
    </r>
  </si>
  <si>
    <r>
      <t>◻</t>
    </r>
    <r>
      <rPr>
        <sz val="7"/>
        <color rgb="FF000000"/>
        <rFont val="Times New Roman"/>
        <family val="1"/>
      </rPr>
      <t xml:space="preserve">      </t>
    </r>
    <r>
      <rPr>
        <sz val="11"/>
        <color rgb="FF202124"/>
        <rFont val="Calibri"/>
        <family val="2"/>
      </rPr>
      <t>A pair of binaural microphones is useful for measuring IACC</t>
    </r>
  </si>
  <si>
    <r>
      <t>◻</t>
    </r>
    <r>
      <rPr>
        <sz val="7"/>
        <color rgb="FF000000"/>
        <rFont val="Times New Roman"/>
        <family val="1"/>
      </rPr>
      <t xml:space="preserve">      </t>
    </r>
    <r>
      <rPr>
        <sz val="11"/>
        <color rgb="FF202124"/>
        <rFont val="Calibri"/>
        <family val="2"/>
      </rPr>
      <t>An High Order Ambisonics microphone array is useful for measuring both Jlf and IACC</t>
    </r>
  </si>
  <si>
    <r>
      <t>◻</t>
    </r>
    <r>
      <rPr>
        <sz val="7"/>
        <color rgb="FF000000"/>
        <rFont val="Times New Roman"/>
        <family val="1"/>
      </rPr>
      <t xml:space="preserve">      </t>
    </r>
    <r>
      <rPr>
        <sz val="11"/>
        <color rgb="FF202124"/>
        <rFont val="Calibri"/>
        <family val="2"/>
      </rPr>
      <t>A &lt;shotgun&gt; microphone is useful for removing unwanted echoes and reflections</t>
    </r>
  </si>
  <si>
    <r>
      <t xml:space="preserve">3) </t>
    </r>
    <r>
      <rPr>
        <b/>
        <sz val="12"/>
        <color rgb="FF202124"/>
        <rFont val="Calibri"/>
        <family val="2"/>
      </rPr>
      <t>What is the most common variant of reverberation time?</t>
    </r>
  </si>
  <si>
    <t>Only one answer allowed, 1 point if correct, -1 if wrong, 0 if no answer</t>
  </si>
  <si>
    <r>
      <t>○</t>
    </r>
    <r>
      <rPr>
        <sz val="7"/>
        <color rgb="FF202124"/>
        <rFont val="Times New Roman"/>
        <family val="1"/>
      </rPr>
      <t xml:space="preserve">        </t>
    </r>
    <r>
      <rPr>
        <sz val="11"/>
        <color rgb="FF202124"/>
        <rFont val="Calibri"/>
        <family val="2"/>
      </rPr>
      <t>T60, measured along the sound decay from 0 to -60 dB</t>
    </r>
  </si>
  <si>
    <r>
      <t>○</t>
    </r>
    <r>
      <rPr>
        <sz val="7"/>
        <color rgb="FF202124"/>
        <rFont val="Times New Roman"/>
        <family val="1"/>
      </rPr>
      <t xml:space="preserve">        </t>
    </r>
    <r>
      <rPr>
        <sz val="11"/>
        <color rgb="FF202124"/>
        <rFont val="Calibri"/>
        <family val="2"/>
      </rPr>
      <t>T30, measured along the sound decay from -5 to -35 dB</t>
    </r>
  </si>
  <si>
    <r>
      <t>○</t>
    </r>
    <r>
      <rPr>
        <sz val="7"/>
        <color rgb="FF202124"/>
        <rFont val="Times New Roman"/>
        <family val="1"/>
      </rPr>
      <t xml:space="preserve">        </t>
    </r>
    <r>
      <rPr>
        <sz val="11"/>
        <color rgb="FF202124"/>
        <rFont val="Calibri"/>
        <family val="2"/>
      </rPr>
      <t>T20, measured along the sound decay from -5 to -25 dB</t>
    </r>
  </si>
  <si>
    <r>
      <t>○</t>
    </r>
    <r>
      <rPr>
        <sz val="7"/>
        <color rgb="FF202124"/>
        <rFont val="Times New Roman"/>
        <family val="1"/>
      </rPr>
      <t xml:space="preserve">        </t>
    </r>
    <r>
      <rPr>
        <sz val="11"/>
        <color rgb="FF202124"/>
        <rFont val="Calibri"/>
        <family val="2"/>
      </rPr>
      <t>T10, measured along the sound decay from -5 to -15 dB</t>
    </r>
  </si>
  <si>
    <r>
      <t>○</t>
    </r>
    <r>
      <rPr>
        <sz val="7"/>
        <color rgb="FF202124"/>
        <rFont val="Times New Roman"/>
        <family val="1"/>
      </rPr>
      <t xml:space="preserve">        </t>
    </r>
    <r>
      <rPr>
        <sz val="11"/>
        <color rgb="FF202124"/>
        <rFont val="Calibri"/>
        <family val="2"/>
      </rPr>
      <t>EDT, measured along the sound decay from 0 to -10 dB</t>
    </r>
  </si>
  <si>
    <r>
      <t>○</t>
    </r>
    <r>
      <rPr>
        <sz val="7"/>
        <color rgb="FF202124"/>
        <rFont val="Times New Roman"/>
        <family val="1"/>
      </rPr>
      <t xml:space="preserve">        </t>
    </r>
    <r>
      <rPr>
        <sz val="11"/>
        <color rgb="FF202124"/>
        <rFont val="Calibri"/>
        <family val="2"/>
      </rPr>
      <t>None of the above</t>
    </r>
  </si>
  <si>
    <r>
      <t xml:space="preserve">4) </t>
    </r>
    <r>
      <rPr>
        <b/>
        <sz val="11"/>
        <color rgb="FF202124"/>
        <rFont val="Calibri"/>
        <family val="2"/>
      </rPr>
      <t>The level decays from -5 dB to -35 dB in 1+F/10 s. Compute the reverberation time T30.</t>
    </r>
  </si>
  <si>
    <t>(write number and measurement unit)</t>
  </si>
  <si>
    <r>
      <t xml:space="preserve"> </t>
    </r>
    <r>
      <rPr>
        <b/>
        <sz val="11"/>
        <color rgb="FF000000"/>
        <rFont val="Calibri"/>
        <family val="2"/>
      </rPr>
      <t>5) Clarity C50 in a large auditorium is equal to -(2+F/10) dB. There are no early reflections arriving in the first 50ms following the direct sound. A room treatment is applied, which halves the reverberation time. Compute the new value of Clarity C50.</t>
    </r>
  </si>
  <si>
    <r>
      <t xml:space="preserve"> </t>
    </r>
    <r>
      <rPr>
        <b/>
        <sz val="11"/>
        <color rgb="FF000000"/>
        <rFont val="Calibri"/>
        <family val="2"/>
      </rPr>
      <t>6) In a large room there are no reflections in the first 80 ms following the direct sound. A sound reflector is added on the side of the stage, causing a reflection to arrive with an azimuth of 40+E degrees and an amplitude 1+F/4 dB weaker than the direct sound. Compute Jlf.</t>
    </r>
  </si>
  <si>
    <r>
      <t xml:space="preserve"> </t>
    </r>
    <r>
      <rPr>
        <b/>
        <sz val="11"/>
        <color rgb="FF000000"/>
        <rFont val="Calibri"/>
        <family val="2"/>
      </rPr>
      <t>7) Compute the duration of an MLS signal of order (10+F) at a sampling frequency of 48000 Hz.</t>
    </r>
  </si>
  <si>
    <t>decay time =</t>
  </si>
  <si>
    <t>s</t>
  </si>
  <si>
    <t>T30 = 2*dt =</t>
  </si>
  <si>
    <t>C50in =</t>
  </si>
  <si>
    <t>dB</t>
  </si>
  <si>
    <t>t (ms)</t>
  </si>
  <si>
    <t>&gt; 50 ms</t>
  </si>
  <si>
    <t>Edir</t>
  </si>
  <si>
    <t>Erev</t>
  </si>
  <si>
    <t>=Ldir-Lrev</t>
  </si>
  <si>
    <t>Lrev,2=Lrev,1-3 dB</t>
  </si>
  <si>
    <t>C50fin =</t>
  </si>
  <si>
    <t>direct</t>
  </si>
  <si>
    <t>reflection</t>
  </si>
  <si>
    <t>Source</t>
  </si>
  <si>
    <t>Receiver</t>
  </si>
  <si>
    <t>Azimut =</t>
  </si>
  <si>
    <t>°</t>
  </si>
  <si>
    <t>reflector</t>
  </si>
  <si>
    <t>a</t>
  </si>
  <si>
    <t>Alpha =</t>
  </si>
  <si>
    <t>OmniAmplitude =</t>
  </si>
  <si>
    <t>Attenuation =</t>
  </si>
  <si>
    <t>Ampl. Attenuation =</t>
  </si>
  <si>
    <t>Fig.8 Amplitude = Arefl*cos(90-Alpha) =</t>
  </si>
  <si>
    <t>order =</t>
  </si>
  <si>
    <t>Nsamples = 2^(N)-1 =</t>
  </si>
  <si>
    <t>samples</t>
  </si>
  <si>
    <t>Tau (s) = Nsamples/fsamp =</t>
  </si>
  <si>
    <t>STI_1 =</t>
  </si>
  <si>
    <t>S/N ratio =</t>
  </si>
  <si>
    <t>STI_2 = STI_1*(1/(1+10^(-SN/10))) =</t>
  </si>
  <si>
    <t>Jlf = (Afig8^2)/(Adir^2+Arefl^2) =</t>
  </si>
  <si>
    <t>N.</t>
  </si>
  <si>
    <t>Score</t>
  </si>
  <si>
    <t>OK Value</t>
  </si>
  <si>
    <t>OK unit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</si>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</sst>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9" formatCode="0.0"/>
    <numFmt numFmtId="170" formatCode="0.000"/>
  </numFmts>
  <fonts count="24">
    <font>
      <sz val="10"/>
      <color rgb="FF000000"/>
      <name val="Arial"/>
      <scheme val="minor"/>
    </font>
    <font>
      <sz val="10"/>
      <color theme="1"/>
      <name val="Arial"/>
      <family val="2"/>
      <scheme val="minor"/>
    </font>
    <font>
      <sz val="10"/>
      <color rgb="FF000000"/>
      <name val="Arial"/>
      <family val="2"/>
      <scheme val="minor"/>
    </font>
    <font>
      <b/>
      <sz val="11"/>
      <color theme="1"/>
      <name val="Arial"/>
      <family val="2"/>
      <scheme val="minor"/>
    </font>
    <font>
      <sz val="11"/>
      <color rgb="FF000000"/>
      <name val="Calibri"/>
      <family val="2"/>
    </font>
    <font>
      <sz val="7"/>
      <color rgb="FF000000"/>
      <name val="Times New Roman"/>
      <family val="1"/>
    </font>
    <font>
      <b/>
      <sz val="11"/>
      <color rgb="FF000000"/>
      <name val="Calibri"/>
      <family val="2"/>
    </font>
    <font>
      <i/>
      <sz val="11"/>
      <color rgb="FF000000"/>
      <name val="Calibri"/>
      <family val="2"/>
    </font>
    <font>
      <sz val="11"/>
      <color rgb="FF000000"/>
      <name val="Noto Sans Symbols"/>
    </font>
    <font>
      <sz val="11"/>
      <color rgb="FF202124"/>
      <name val="Calibri"/>
      <family val="2"/>
    </font>
    <font>
      <b/>
      <sz val="5"/>
      <color rgb="FF000000"/>
      <name val="Calibri"/>
      <family val="2"/>
    </font>
    <font>
      <b/>
      <sz val="12"/>
      <color rgb="FF202124"/>
      <name val="Calibri"/>
      <family val="2"/>
    </font>
    <font>
      <sz val="5"/>
      <color rgb="FF000000"/>
      <name val="Calibri"/>
      <family val="2"/>
    </font>
    <font>
      <i/>
      <sz val="11"/>
      <color rgb="FF202124"/>
      <name val="Calibri"/>
      <family val="2"/>
    </font>
    <font>
      <sz val="7"/>
      <color rgb="FF202124"/>
      <name val="Times New Roman"/>
      <family val="1"/>
    </font>
    <font>
      <b/>
      <sz val="11"/>
      <color rgb="FF202124"/>
      <name val="Calibri"/>
      <family val="2"/>
    </font>
    <font>
      <sz val="10"/>
      <color rgb="FF000000"/>
      <name val="Symbol"/>
      <family val="1"/>
      <charset val="2"/>
    </font>
    <font>
      <sz val="10"/>
      <color rgb="FFFF0000"/>
      <name val="Arial"/>
      <family val="2"/>
      <scheme val="minor"/>
    </font>
    <font>
      <sz val="10"/>
      <color rgb="FF00B050"/>
      <name val="Arial"/>
      <family val="2"/>
      <scheme val="minor"/>
    </font>
    <font>
      <sz val="10"/>
      <color rgb="FF0000FF"/>
      <name val="Arial"/>
      <family val="2"/>
    </font>
    <font>
      <sz val="10"/>
      <name val="Arial"/>
      <family val="2"/>
    </font>
    <font>
      <b/>
      <sz val="9"/>
      <color indexed="81"/>
      <name val="Tahoma"/>
      <family val="2"/>
    </font>
    <font>
      <sz val="9"/>
      <color indexed="81"/>
      <name val="Tahoma"/>
      <family val="2"/>
    </font>
    <font>
      <b/>
      <sz val="10"/>
      <color rgb="FF000000"/>
      <name val="Arial"/>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
    <xf numFmtId="0" fontId="0" fillId="0" borderId="0"/>
    <xf numFmtId="0" fontId="2" fillId="0" borderId="0"/>
  </cellStyleXfs>
  <cellXfs count="74">
    <xf numFmtId="0" fontId="0" fillId="0" borderId="0" xfId="0"/>
    <xf numFmtId="0" fontId="3"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Alignment="1">
      <alignment horizontal="left" vertical="center" indent="1"/>
    </xf>
    <xf numFmtId="0" fontId="7" fillId="0" borderId="0" xfId="0" applyFont="1" applyAlignment="1">
      <alignment vertical="center"/>
    </xf>
    <xf numFmtId="0" fontId="8" fillId="0" borderId="0" xfId="0" applyFont="1" applyAlignment="1">
      <alignment horizontal="left" vertical="center" indent="4"/>
    </xf>
    <xf numFmtId="0" fontId="10"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horizontal="left" vertical="center" indent="4"/>
    </xf>
    <xf numFmtId="0" fontId="8" fillId="2" borderId="0" xfId="0" applyFont="1" applyFill="1" applyAlignment="1">
      <alignment horizontal="left" vertical="center" indent="4"/>
    </xf>
    <xf numFmtId="0" fontId="0" fillId="2" borderId="0" xfId="0" applyFill="1"/>
    <xf numFmtId="0" fontId="9" fillId="2" borderId="0" xfId="0" applyFont="1" applyFill="1" applyAlignment="1">
      <alignment horizontal="left" vertical="center" indent="4"/>
    </xf>
    <xf numFmtId="0" fontId="6"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left" vertical="center" wrapText="1"/>
    </xf>
    <xf numFmtId="0" fontId="2" fillId="0" borderId="0" xfId="0" applyFont="1"/>
    <xf numFmtId="0" fontId="2" fillId="0" borderId="0" xfId="0" applyFont="1" applyAlignment="1">
      <alignment horizontal="right"/>
    </xf>
    <xf numFmtId="0" fontId="2" fillId="0" borderId="0" xfId="0" quotePrefix="1" applyFont="1"/>
    <xf numFmtId="0" fontId="16" fillId="0" borderId="0" xfId="0" applyFont="1" applyAlignment="1">
      <alignment horizontal="right"/>
    </xf>
    <xf numFmtId="0" fontId="17" fillId="0" borderId="0" xfId="0" applyFont="1"/>
    <xf numFmtId="0" fontId="18" fillId="0" borderId="0" xfId="0" applyFont="1"/>
    <xf numFmtId="9" fontId="0" fillId="0" borderId="0" xfId="0" applyNumberFormat="1"/>
    <xf numFmtId="0" fontId="0" fillId="2" borderId="7" xfId="0" applyFill="1" applyBorder="1"/>
    <xf numFmtId="0" fontId="0" fillId="2" borderId="8" xfId="0" applyFill="1" applyBorder="1"/>
    <xf numFmtId="0" fontId="2" fillId="2" borderId="9" xfId="0" applyFont="1" applyFill="1" applyBorder="1"/>
    <xf numFmtId="9" fontId="0" fillId="2" borderId="7" xfId="0" applyNumberFormat="1" applyFill="1" applyBorder="1"/>
    <xf numFmtId="0" fontId="19" fillId="3" borderId="10" xfId="0" applyFont="1" applyFill="1" applyBorder="1" applyAlignment="1">
      <alignment horizontal="center" wrapText="1"/>
    </xf>
    <xf numFmtId="0" fontId="20" fillId="0" borderId="11" xfId="0" applyFont="1" applyBorder="1" applyAlignment="1">
      <alignment horizontal="center"/>
    </xf>
    <xf numFmtId="0" fontId="1" fillId="3" borderId="10" xfId="1" applyFont="1" applyFill="1" applyBorder="1" applyAlignment="1">
      <alignment horizontal="center"/>
    </xf>
    <xf numFmtId="0" fontId="0" fillId="0" borderId="11" xfId="0" applyBorder="1" applyAlignment="1">
      <alignment horizontal="center"/>
    </xf>
    <xf numFmtId="0" fontId="1" fillId="3" borderId="10" xfId="1" applyFont="1" applyFill="1" applyBorder="1"/>
    <xf numFmtId="0" fontId="0" fillId="3" borderId="10" xfId="0" applyFill="1" applyBorder="1" applyAlignment="1">
      <alignment horizontal="right"/>
    </xf>
    <xf numFmtId="0" fontId="0" fillId="3" borderId="10" xfId="0" applyFill="1" applyBorder="1"/>
    <xf numFmtId="0" fontId="0" fillId="3" borderId="10" xfId="0" applyFill="1" applyBorder="1" applyAlignment="1">
      <alignment horizontal="center"/>
    </xf>
    <xf numFmtId="169" fontId="0" fillId="0" borderId="11" xfId="0" applyNumberFormat="1" applyBorder="1"/>
    <xf numFmtId="0" fontId="0" fillId="0" borderId="11" xfId="0" applyBorder="1"/>
    <xf numFmtId="0" fontId="2" fillId="0" borderId="11" xfId="0" applyFont="1" applyBorder="1"/>
    <xf numFmtId="170" fontId="0" fillId="0" borderId="11" xfId="0" applyNumberFormat="1" applyBorder="1"/>
    <xf numFmtId="2" fontId="0" fillId="0" borderId="11" xfId="0" applyNumberFormat="1" applyBorder="1"/>
    <xf numFmtId="9" fontId="0" fillId="0" borderId="11" xfId="0" applyNumberFormat="1" applyBorder="1"/>
    <xf numFmtId="0" fontId="3" fillId="3" borderId="12" xfId="0" applyFont="1" applyFill="1" applyBorder="1" applyAlignment="1">
      <alignment horizontal="center"/>
    </xf>
    <xf numFmtId="0" fontId="0" fillId="0" borderId="13" xfId="0" applyBorder="1" applyAlignment="1">
      <alignment horizontal="center"/>
    </xf>
    <xf numFmtId="164" fontId="1" fillId="0" borderId="11" xfId="0" applyNumberFormat="1" applyFont="1" applyBorder="1"/>
    <xf numFmtId="0" fontId="1" fillId="0" borderId="11" xfId="0" applyFont="1" applyBorder="1"/>
    <xf numFmtId="0" fontId="1" fillId="0" borderId="11" xfId="0" applyFont="1" applyBorder="1" applyAlignment="1">
      <alignment horizontal="center"/>
    </xf>
    <xf numFmtId="0" fontId="0" fillId="0" borderId="11" xfId="0" applyBorder="1" applyAlignment="1">
      <alignment horizontal="right"/>
    </xf>
    <xf numFmtId="0" fontId="23" fillId="0" borderId="14" xfId="1" applyFont="1" applyBorder="1" applyAlignment="1">
      <alignment horizontal="center"/>
    </xf>
    <xf numFmtId="9" fontId="1" fillId="0" borderId="11" xfId="0" applyNumberFormat="1" applyFont="1" applyBorder="1" applyAlignment="1">
      <alignment horizontal="right"/>
    </xf>
    <xf numFmtId="0" fontId="1" fillId="0" borderId="11" xfId="0" applyFont="1" applyBorder="1" applyAlignment="1">
      <alignment horizontal="right"/>
    </xf>
    <xf numFmtId="0" fontId="0" fillId="0" borderId="15" xfId="0" applyBorder="1" applyAlignment="1">
      <alignment horizontal="center"/>
    </xf>
    <xf numFmtId="164" fontId="1" fillId="0" borderId="16" xfId="0" applyNumberFormat="1" applyFont="1" applyBorder="1"/>
    <xf numFmtId="0" fontId="1" fillId="0" borderId="16" xfId="0" applyFont="1" applyBorder="1"/>
    <xf numFmtId="0" fontId="1" fillId="0" borderId="16" xfId="0" quotePrefix="1" applyFont="1" applyBorder="1" applyAlignment="1">
      <alignment horizontal="center"/>
    </xf>
    <xf numFmtId="0" fontId="20" fillId="0" borderId="16" xfId="0" applyFont="1" applyBorder="1" applyAlignment="1">
      <alignment horizontal="center"/>
    </xf>
    <xf numFmtId="0" fontId="0" fillId="0" borderId="16" xfId="0" applyBorder="1" applyAlignment="1">
      <alignment horizontal="center"/>
    </xf>
    <xf numFmtId="169" fontId="0" fillId="0" borderId="16" xfId="0" applyNumberFormat="1" applyBorder="1"/>
    <xf numFmtId="0" fontId="2" fillId="0" borderId="16" xfId="0" applyFont="1" applyBorder="1"/>
    <xf numFmtId="2" fontId="0" fillId="0" borderId="16" xfId="0" applyNumberFormat="1" applyBorder="1"/>
    <xf numFmtId="0" fontId="0" fillId="0" borderId="16" xfId="0" applyBorder="1"/>
    <xf numFmtId="170" fontId="0" fillId="0" borderId="16" xfId="0" applyNumberFormat="1" applyBorder="1"/>
    <xf numFmtId="0" fontId="0" fillId="0" borderId="16" xfId="0" applyBorder="1" applyAlignment="1">
      <alignment horizontal="right"/>
    </xf>
    <xf numFmtId="9" fontId="0" fillId="0" borderId="16" xfId="0" applyNumberFormat="1" applyBorder="1"/>
    <xf numFmtId="0" fontId="23" fillId="0" borderId="17" xfId="1" applyFont="1" applyBorder="1" applyAlignment="1">
      <alignment horizontal="center"/>
    </xf>
    <xf numFmtId="0" fontId="0" fillId="3" borderId="10" xfId="0" applyFill="1" applyBorder="1" applyAlignment="1">
      <alignment horizontal="left"/>
    </xf>
  </cellXfs>
  <cellStyles count="2">
    <cellStyle name="Normal" xfId="0" builtinId="0"/>
    <cellStyle name="Normal 2" xfId="1" xr:uid="{F048CC6C-EF67-40D4-974B-37911FBF9985}"/>
  </cellStyles>
  <dxfs count="24">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71437</xdr:colOff>
      <xdr:row>35</xdr:row>
      <xdr:rowOff>619124</xdr:rowOff>
    </xdr:from>
    <xdr:to>
      <xdr:col>14</xdr:col>
      <xdr:colOff>3968</xdr:colOff>
      <xdr:row>35</xdr:row>
      <xdr:rowOff>634999</xdr:rowOff>
    </xdr:to>
    <xdr:cxnSp macro="">
      <xdr:nvCxnSpPr>
        <xdr:cNvPr id="3" name="Straight Arrow Connector 2">
          <a:extLst>
            <a:ext uri="{FF2B5EF4-FFF2-40B4-BE49-F238E27FC236}">
              <a16:creationId xmlns:a16="http://schemas.microsoft.com/office/drawing/2014/main" id="{272AA0F2-58AC-C7D0-5AF5-EE38D873DE85}"/>
            </a:ext>
          </a:extLst>
        </xdr:cNvPr>
        <xdr:cNvCxnSpPr/>
      </xdr:nvCxnSpPr>
      <xdr:spPr>
        <a:xfrm flipV="1">
          <a:off x="6540500" y="6917531"/>
          <a:ext cx="2520156" cy="15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67468</xdr:colOff>
      <xdr:row>34</xdr:row>
      <xdr:rowOff>63500</xdr:rowOff>
    </xdr:from>
    <xdr:to>
      <xdr:col>10</xdr:col>
      <xdr:colOff>75406</xdr:colOff>
      <xdr:row>35</xdr:row>
      <xdr:rowOff>631031</xdr:rowOff>
    </xdr:to>
    <xdr:cxnSp macro="">
      <xdr:nvCxnSpPr>
        <xdr:cNvPr id="4" name="Straight Arrow Connector 3">
          <a:extLst>
            <a:ext uri="{FF2B5EF4-FFF2-40B4-BE49-F238E27FC236}">
              <a16:creationId xmlns:a16="http://schemas.microsoft.com/office/drawing/2014/main" id="{A0514926-5EFC-45C8-8229-8D8A25230182}"/>
            </a:ext>
          </a:extLst>
        </xdr:cNvPr>
        <xdr:cNvCxnSpPr/>
      </xdr:nvCxnSpPr>
      <xdr:spPr>
        <a:xfrm flipH="1" flipV="1">
          <a:off x="6536531" y="6175375"/>
          <a:ext cx="7938" cy="7540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563562</xdr:colOff>
      <xdr:row>35</xdr:row>
      <xdr:rowOff>67468</xdr:rowOff>
    </xdr:from>
    <xdr:to>
      <xdr:col>10</xdr:col>
      <xdr:colOff>609281</xdr:colOff>
      <xdr:row>35</xdr:row>
      <xdr:rowOff>634999</xdr:rowOff>
    </xdr:to>
    <xdr:sp macro="" textlink="">
      <xdr:nvSpPr>
        <xdr:cNvPr id="7" name="Rectangle 6">
          <a:extLst>
            <a:ext uri="{FF2B5EF4-FFF2-40B4-BE49-F238E27FC236}">
              <a16:creationId xmlns:a16="http://schemas.microsoft.com/office/drawing/2014/main" id="{4908FE92-39A8-702E-06DB-0B9BF79B4713}"/>
            </a:ext>
          </a:extLst>
        </xdr:cNvPr>
        <xdr:cNvSpPr/>
      </xdr:nvSpPr>
      <xdr:spPr>
        <a:xfrm>
          <a:off x="7032625" y="6365875"/>
          <a:ext cx="45719" cy="567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103188</xdr:colOff>
      <xdr:row>35</xdr:row>
      <xdr:rowOff>182562</xdr:rowOff>
    </xdr:from>
    <xdr:to>
      <xdr:col>13</xdr:col>
      <xdr:colOff>380999</xdr:colOff>
      <xdr:row>35</xdr:row>
      <xdr:rowOff>611187</xdr:rowOff>
    </xdr:to>
    <xdr:sp macro="" textlink="">
      <xdr:nvSpPr>
        <xdr:cNvPr id="8" name="Right Triangle 7">
          <a:extLst>
            <a:ext uri="{FF2B5EF4-FFF2-40B4-BE49-F238E27FC236}">
              <a16:creationId xmlns:a16="http://schemas.microsoft.com/office/drawing/2014/main" id="{68BE0B0E-AF79-502C-63FF-D3BD05B476EE}"/>
            </a:ext>
          </a:extLst>
        </xdr:cNvPr>
        <xdr:cNvSpPr/>
      </xdr:nvSpPr>
      <xdr:spPr>
        <a:xfrm>
          <a:off x="7866063" y="6480969"/>
          <a:ext cx="924718" cy="428625"/>
        </a:xfrm>
        <a:prstGeom prst="r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104321</xdr:colOff>
      <xdr:row>41</xdr:row>
      <xdr:rowOff>757463</xdr:rowOff>
    </xdr:from>
    <xdr:to>
      <xdr:col>14</xdr:col>
      <xdr:colOff>36852</xdr:colOff>
      <xdr:row>41</xdr:row>
      <xdr:rowOff>773338</xdr:rowOff>
    </xdr:to>
    <xdr:cxnSp macro="">
      <xdr:nvCxnSpPr>
        <xdr:cNvPr id="11" name="Straight Arrow Connector 10">
          <a:extLst>
            <a:ext uri="{FF2B5EF4-FFF2-40B4-BE49-F238E27FC236}">
              <a16:creationId xmlns:a16="http://schemas.microsoft.com/office/drawing/2014/main" id="{1C29370E-B126-4E89-B5AF-2DB8E08C161B}"/>
            </a:ext>
          </a:extLst>
        </xdr:cNvPr>
        <xdr:cNvCxnSpPr/>
      </xdr:nvCxnSpPr>
      <xdr:spPr>
        <a:xfrm flipV="1">
          <a:off x="6567714" y="8425088"/>
          <a:ext cx="2517888" cy="15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100352</xdr:colOff>
      <xdr:row>41</xdr:row>
      <xdr:rowOff>14741</xdr:rowOff>
    </xdr:from>
    <xdr:to>
      <xdr:col>10</xdr:col>
      <xdr:colOff>108290</xdr:colOff>
      <xdr:row>41</xdr:row>
      <xdr:rowOff>769370</xdr:rowOff>
    </xdr:to>
    <xdr:cxnSp macro="">
      <xdr:nvCxnSpPr>
        <xdr:cNvPr id="12" name="Straight Arrow Connector 11">
          <a:extLst>
            <a:ext uri="{FF2B5EF4-FFF2-40B4-BE49-F238E27FC236}">
              <a16:creationId xmlns:a16="http://schemas.microsoft.com/office/drawing/2014/main" id="{AAC7903E-3DA6-4FCB-ABC4-02F8EB958BE5}"/>
            </a:ext>
          </a:extLst>
        </xdr:cNvPr>
        <xdr:cNvCxnSpPr/>
      </xdr:nvCxnSpPr>
      <xdr:spPr>
        <a:xfrm flipH="1" flipV="1">
          <a:off x="6563745" y="7682366"/>
          <a:ext cx="7938" cy="7546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596446</xdr:colOff>
      <xdr:row>41</xdr:row>
      <xdr:rowOff>205807</xdr:rowOff>
    </xdr:from>
    <xdr:to>
      <xdr:col>10</xdr:col>
      <xdr:colOff>642165</xdr:colOff>
      <xdr:row>41</xdr:row>
      <xdr:rowOff>773338</xdr:rowOff>
    </xdr:to>
    <xdr:sp macro="" textlink="">
      <xdr:nvSpPr>
        <xdr:cNvPr id="13" name="Rectangle 12">
          <a:extLst>
            <a:ext uri="{FF2B5EF4-FFF2-40B4-BE49-F238E27FC236}">
              <a16:creationId xmlns:a16="http://schemas.microsoft.com/office/drawing/2014/main" id="{78B18596-3811-4C88-A9D9-D80A0E049A4E}"/>
            </a:ext>
          </a:extLst>
        </xdr:cNvPr>
        <xdr:cNvSpPr/>
      </xdr:nvSpPr>
      <xdr:spPr>
        <a:xfrm>
          <a:off x="7059839" y="7873432"/>
          <a:ext cx="45719" cy="567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323626</xdr:colOff>
      <xdr:row>41</xdr:row>
      <xdr:rowOff>415018</xdr:rowOff>
    </xdr:from>
    <xdr:to>
      <xdr:col>11</xdr:col>
      <xdr:colOff>369345</xdr:colOff>
      <xdr:row>41</xdr:row>
      <xdr:rowOff>762452</xdr:rowOff>
    </xdr:to>
    <xdr:sp macro="" textlink="">
      <xdr:nvSpPr>
        <xdr:cNvPr id="14" name="Rectangle 13">
          <a:extLst>
            <a:ext uri="{FF2B5EF4-FFF2-40B4-BE49-F238E27FC236}">
              <a16:creationId xmlns:a16="http://schemas.microsoft.com/office/drawing/2014/main" id="{B44BF841-9799-4D51-91CD-EE9A105021C3}"/>
            </a:ext>
          </a:extLst>
        </xdr:cNvPr>
        <xdr:cNvSpPr/>
      </xdr:nvSpPr>
      <xdr:spPr>
        <a:xfrm>
          <a:off x="7433358" y="8082643"/>
          <a:ext cx="45719" cy="3474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64635</xdr:colOff>
      <xdr:row>43</xdr:row>
      <xdr:rowOff>54427</xdr:rowOff>
    </xdr:from>
    <xdr:to>
      <xdr:col>5</xdr:col>
      <xdr:colOff>159884</xdr:colOff>
      <xdr:row>43</xdr:row>
      <xdr:rowOff>153078</xdr:rowOff>
    </xdr:to>
    <xdr:sp macro="" textlink="">
      <xdr:nvSpPr>
        <xdr:cNvPr id="15" name="Oval 14">
          <a:extLst>
            <a:ext uri="{FF2B5EF4-FFF2-40B4-BE49-F238E27FC236}">
              <a16:creationId xmlns:a16="http://schemas.microsoft.com/office/drawing/2014/main" id="{44765232-024D-B266-3ADF-ED16FACBB16F}"/>
            </a:ext>
          </a:extLst>
        </xdr:cNvPr>
        <xdr:cNvSpPr/>
      </xdr:nvSpPr>
      <xdr:spPr>
        <a:xfrm>
          <a:off x="3296331" y="8708570"/>
          <a:ext cx="95249" cy="9865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53749</xdr:colOff>
      <xdr:row>48</xdr:row>
      <xdr:rowOff>50345</xdr:rowOff>
    </xdr:from>
    <xdr:to>
      <xdr:col>5</xdr:col>
      <xdr:colOff>148998</xdr:colOff>
      <xdr:row>48</xdr:row>
      <xdr:rowOff>148996</xdr:rowOff>
    </xdr:to>
    <xdr:sp macro="" textlink="">
      <xdr:nvSpPr>
        <xdr:cNvPr id="16" name="Oval 15">
          <a:extLst>
            <a:ext uri="{FF2B5EF4-FFF2-40B4-BE49-F238E27FC236}">
              <a16:creationId xmlns:a16="http://schemas.microsoft.com/office/drawing/2014/main" id="{E60A5DCD-3231-49EE-A71A-1080162EB2DF}"/>
            </a:ext>
          </a:extLst>
        </xdr:cNvPr>
        <xdr:cNvSpPr/>
      </xdr:nvSpPr>
      <xdr:spPr>
        <a:xfrm>
          <a:off x="3285445" y="9605961"/>
          <a:ext cx="95249" cy="9865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101374</xdr:colOff>
      <xdr:row>43</xdr:row>
      <xdr:rowOff>153078</xdr:rowOff>
    </xdr:from>
    <xdr:to>
      <xdr:col>5</xdr:col>
      <xdr:colOff>112260</xdr:colOff>
      <xdr:row>48</xdr:row>
      <xdr:rowOff>50345</xdr:rowOff>
    </xdr:to>
    <xdr:cxnSp macro="">
      <xdr:nvCxnSpPr>
        <xdr:cNvPr id="17" name="Straight Arrow Connector 16">
          <a:extLst>
            <a:ext uri="{FF2B5EF4-FFF2-40B4-BE49-F238E27FC236}">
              <a16:creationId xmlns:a16="http://schemas.microsoft.com/office/drawing/2014/main" id="{3B54EB92-A4A4-4A60-BEE3-2A56F9EC0677}"/>
            </a:ext>
          </a:extLst>
        </xdr:cNvPr>
        <xdr:cNvCxnSpPr>
          <a:stCxn id="15" idx="4"/>
          <a:endCxn id="16" idx="0"/>
        </xdr:cNvCxnSpPr>
      </xdr:nvCxnSpPr>
      <xdr:spPr>
        <a:xfrm flipH="1">
          <a:off x="3333070" y="8807221"/>
          <a:ext cx="10886" cy="7987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10659</xdr:colOff>
      <xdr:row>44</xdr:row>
      <xdr:rowOff>14626</xdr:rowOff>
    </xdr:from>
    <xdr:to>
      <xdr:col>4</xdr:col>
      <xdr:colOff>56378</xdr:colOff>
      <xdr:row>48</xdr:row>
      <xdr:rowOff>17009</xdr:rowOff>
    </xdr:to>
    <xdr:sp macro="" textlink="">
      <xdr:nvSpPr>
        <xdr:cNvPr id="20" name="Rectangle 19">
          <a:extLst>
            <a:ext uri="{FF2B5EF4-FFF2-40B4-BE49-F238E27FC236}">
              <a16:creationId xmlns:a16="http://schemas.microsoft.com/office/drawing/2014/main" id="{D895B982-80F6-4959-836A-554D8D6F7284}"/>
            </a:ext>
          </a:extLst>
        </xdr:cNvPr>
        <xdr:cNvSpPr/>
      </xdr:nvSpPr>
      <xdr:spPr>
        <a:xfrm>
          <a:off x="2596016" y="8849064"/>
          <a:ext cx="45719" cy="7235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56378</xdr:colOff>
      <xdr:row>43</xdr:row>
      <xdr:rowOff>103753</xdr:rowOff>
    </xdr:from>
    <xdr:to>
      <xdr:col>5</xdr:col>
      <xdr:colOff>64635</xdr:colOff>
      <xdr:row>46</xdr:row>
      <xdr:rowOff>15818</xdr:rowOff>
    </xdr:to>
    <xdr:cxnSp macro="">
      <xdr:nvCxnSpPr>
        <xdr:cNvPr id="21" name="Straight Arrow Connector 20">
          <a:extLst>
            <a:ext uri="{FF2B5EF4-FFF2-40B4-BE49-F238E27FC236}">
              <a16:creationId xmlns:a16="http://schemas.microsoft.com/office/drawing/2014/main" id="{7D39EA1B-921A-4AC5-97E7-CDE709EC92DF}"/>
            </a:ext>
          </a:extLst>
        </xdr:cNvPr>
        <xdr:cNvCxnSpPr>
          <a:stCxn id="15" idx="2"/>
          <a:endCxn id="20" idx="3"/>
        </xdr:cNvCxnSpPr>
      </xdr:nvCxnSpPr>
      <xdr:spPr>
        <a:xfrm flipH="1">
          <a:off x="2641735" y="8757896"/>
          <a:ext cx="654596" cy="4529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77562</xdr:colOff>
      <xdr:row>46</xdr:row>
      <xdr:rowOff>7823</xdr:rowOff>
    </xdr:from>
    <xdr:to>
      <xdr:col>5</xdr:col>
      <xdr:colOff>67698</xdr:colOff>
      <xdr:row>48</xdr:row>
      <xdr:rowOff>64792</xdr:rowOff>
    </xdr:to>
    <xdr:cxnSp macro="">
      <xdr:nvCxnSpPr>
        <xdr:cNvPr id="25" name="Straight Arrow Connector 24">
          <a:extLst>
            <a:ext uri="{FF2B5EF4-FFF2-40B4-BE49-F238E27FC236}">
              <a16:creationId xmlns:a16="http://schemas.microsoft.com/office/drawing/2014/main" id="{75FFD77F-EFB0-4848-A861-B78DD4CFB6D7}"/>
            </a:ext>
          </a:extLst>
        </xdr:cNvPr>
        <xdr:cNvCxnSpPr>
          <a:endCxn id="16" idx="1"/>
        </xdr:cNvCxnSpPr>
      </xdr:nvCxnSpPr>
      <xdr:spPr>
        <a:xfrm>
          <a:off x="2662919" y="9202850"/>
          <a:ext cx="636475" cy="4175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325313</xdr:colOff>
      <xdr:row>44</xdr:row>
      <xdr:rowOff>122935</xdr:rowOff>
    </xdr:from>
    <xdr:to>
      <xdr:col>5</xdr:col>
      <xdr:colOff>324430</xdr:colOff>
      <xdr:row>49</xdr:row>
      <xdr:rowOff>152605</xdr:rowOff>
    </xdr:to>
    <xdr:sp macro="" textlink="">
      <xdr:nvSpPr>
        <xdr:cNvPr id="28" name="Arc 27">
          <a:extLst>
            <a:ext uri="{FF2B5EF4-FFF2-40B4-BE49-F238E27FC236}">
              <a16:creationId xmlns:a16="http://schemas.microsoft.com/office/drawing/2014/main" id="{51C30605-04C3-3E0A-8E19-31635EA99F51}"/>
            </a:ext>
          </a:extLst>
        </xdr:cNvPr>
        <xdr:cNvSpPr/>
      </xdr:nvSpPr>
      <xdr:spPr>
        <a:xfrm rot="16838142">
          <a:off x="2767826" y="9100217"/>
          <a:ext cx="931143" cy="645456"/>
        </a:xfrm>
        <a:prstGeom prst="arc">
          <a:avLst>
            <a:gd name="adj1" fmla="val 16200000"/>
            <a:gd name="adj2" fmla="val 227489"/>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527278</xdr:colOff>
      <xdr:row>47</xdr:row>
      <xdr:rowOff>54430</xdr:rowOff>
    </xdr:from>
    <xdr:to>
      <xdr:col>5</xdr:col>
      <xdr:colOff>312965</xdr:colOff>
      <xdr:row>49</xdr:row>
      <xdr:rowOff>139474</xdr:rowOff>
    </xdr:to>
    <xdr:sp macro="" textlink="">
      <xdr:nvSpPr>
        <xdr:cNvPr id="29" name="Oval 28">
          <a:extLst>
            <a:ext uri="{FF2B5EF4-FFF2-40B4-BE49-F238E27FC236}">
              <a16:creationId xmlns:a16="http://schemas.microsoft.com/office/drawing/2014/main" id="{213A3C2D-6EEB-8BD1-E664-8803345D21CC}"/>
            </a:ext>
          </a:extLst>
        </xdr:cNvPr>
        <xdr:cNvSpPr/>
      </xdr:nvSpPr>
      <xdr:spPr>
        <a:xfrm>
          <a:off x="3112635" y="9429751"/>
          <a:ext cx="432026" cy="44563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540205</xdr:colOff>
      <xdr:row>48</xdr:row>
      <xdr:rowOff>6124</xdr:rowOff>
    </xdr:from>
    <xdr:to>
      <xdr:col>5</xdr:col>
      <xdr:colOff>91849</xdr:colOff>
      <xdr:row>49</xdr:row>
      <xdr:rowOff>30616</xdr:rowOff>
    </xdr:to>
    <xdr:sp macro="" textlink="">
      <xdr:nvSpPr>
        <xdr:cNvPr id="30" name="Oval 29">
          <a:extLst>
            <a:ext uri="{FF2B5EF4-FFF2-40B4-BE49-F238E27FC236}">
              <a16:creationId xmlns:a16="http://schemas.microsoft.com/office/drawing/2014/main" id="{6795AB0B-9D7B-4038-82CF-8F2E84F98A2B}"/>
            </a:ext>
          </a:extLst>
        </xdr:cNvPr>
        <xdr:cNvSpPr/>
      </xdr:nvSpPr>
      <xdr:spPr>
        <a:xfrm>
          <a:off x="3125562" y="9561740"/>
          <a:ext cx="197983" cy="204787"/>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107500</xdr:colOff>
      <xdr:row>48</xdr:row>
      <xdr:rowOff>5442</xdr:rowOff>
    </xdr:from>
    <xdr:to>
      <xdr:col>5</xdr:col>
      <xdr:colOff>305483</xdr:colOff>
      <xdr:row>49</xdr:row>
      <xdr:rowOff>29934</xdr:rowOff>
    </xdr:to>
    <xdr:sp macro="" textlink="">
      <xdr:nvSpPr>
        <xdr:cNvPr id="31" name="Oval 30">
          <a:extLst>
            <a:ext uri="{FF2B5EF4-FFF2-40B4-BE49-F238E27FC236}">
              <a16:creationId xmlns:a16="http://schemas.microsoft.com/office/drawing/2014/main" id="{7526356B-D076-4A8D-BA66-C08DCA3BB987}"/>
            </a:ext>
          </a:extLst>
        </xdr:cNvPr>
        <xdr:cNvSpPr/>
      </xdr:nvSpPr>
      <xdr:spPr>
        <a:xfrm>
          <a:off x="3339196" y="9561058"/>
          <a:ext cx="197983" cy="204787"/>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17010</xdr:colOff>
          <xdr:row>58</xdr:row>
          <xdr:rowOff>74839</xdr:rowOff>
        </xdr:from>
        <xdr:to>
          <xdr:col>3</xdr:col>
          <xdr:colOff>642938</xdr:colOff>
          <xdr:row>63</xdr:row>
          <xdr:rowOff>12725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583495B3-D8A9-D7F4-5A58-B63118D98D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435428</xdr:colOff>
          <xdr:row>35</xdr:row>
          <xdr:rowOff>503464</xdr:rowOff>
        </xdr:from>
        <xdr:to>
          <xdr:col>9</xdr:col>
          <xdr:colOff>520472</xdr:colOff>
          <xdr:row>39</xdr:row>
          <xdr:rowOff>101930</xdr:rowOff>
        </xdr:to>
        <xdr:sp macro="" textlink="">
          <xdr:nvSpPr>
            <xdr:cNvPr id="2055" name="Object 7" hidden="1">
              <a:extLst>
                <a:ext uri="{63B3BB69-23CF-44E3-9099-C40C66FF867C}">
                  <a14:compatExt spid="_x0000_s2055"/>
                </a:ext>
                <a:ext uri="{FF2B5EF4-FFF2-40B4-BE49-F238E27FC236}">
                  <a16:creationId xmlns:a16="http://schemas.microsoft.com/office/drawing/2014/main" id="{42721925-4EF6-7A4E-89B8-9E60CE1A40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105455</xdr:colOff>
          <xdr:row>43</xdr:row>
          <xdr:rowOff>74841</xdr:rowOff>
        </xdr:from>
        <xdr:to>
          <xdr:col>13</xdr:col>
          <xdr:colOff>319767</xdr:colOff>
          <xdr:row>49</xdr:row>
          <xdr:rowOff>97091</xdr:rowOff>
        </xdr:to>
        <xdr:sp macro="" textlink="">
          <xdr:nvSpPr>
            <xdr:cNvPr id="2056" name="Object 8" hidden="1">
              <a:extLst>
                <a:ext uri="{63B3BB69-23CF-44E3-9099-C40C66FF867C}">
                  <a14:compatExt spid="_x0000_s2056"/>
                </a:ext>
                <a:ext uri="{FF2B5EF4-FFF2-40B4-BE49-F238E27FC236}">
                  <a16:creationId xmlns:a16="http://schemas.microsoft.com/office/drawing/2014/main" id="{DE20D550-736D-8B15-9DDD-F88AD28D94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18059-EB21-4896-AD9D-5FE9242B938D}">
  <dimension ref="A1:N62"/>
  <sheetViews>
    <sheetView tabSelected="1" zoomScale="140" zoomScaleNormal="140" workbookViewId="0"/>
  </sheetViews>
  <sheetFormatPr defaultRowHeight="12.75"/>
  <sheetData>
    <row r="1" spans="1:10" ht="13.9">
      <c r="A1" s="1" t="s">
        <v>73</v>
      </c>
    </row>
    <row r="2" spans="1:10" ht="13.15" thickBot="1"/>
    <row r="3" spans="1:10">
      <c r="A3" t="s">
        <v>3</v>
      </c>
      <c r="B3" s="2" t="s">
        <v>67</v>
      </c>
      <c r="C3" s="3" t="s">
        <v>68</v>
      </c>
      <c r="D3" s="3" t="s">
        <v>69</v>
      </c>
      <c r="E3" s="3" t="s">
        <v>70</v>
      </c>
      <c r="F3" s="3" t="s">
        <v>71</v>
      </c>
      <c r="G3" s="4" t="s">
        <v>72</v>
      </c>
    </row>
    <row r="4" spans="1:10" ht="13.15" thickBot="1">
      <c r="B4" s="5">
        <v>1</v>
      </c>
      <c r="C4" s="6">
        <v>2</v>
      </c>
      <c r="D4" s="6">
        <v>3</v>
      </c>
      <c r="E4" s="6">
        <v>4</v>
      </c>
      <c r="F4" s="6">
        <v>5</v>
      </c>
      <c r="G4" s="7">
        <v>6</v>
      </c>
    </row>
    <row r="6" spans="1:10" ht="14.25">
      <c r="A6" s="8" t="s">
        <v>74</v>
      </c>
    </row>
    <row r="7" spans="1:10" ht="14.25">
      <c r="A7" s="9" t="s">
        <v>75</v>
      </c>
    </row>
    <row r="8" spans="1:10" ht="14.25">
      <c r="A8" s="10" t="s">
        <v>76</v>
      </c>
    </row>
    <row r="9" spans="1:10" ht="14.25">
      <c r="A9" s="10" t="s">
        <v>77</v>
      </c>
    </row>
    <row r="10" spans="1:10" ht="14.25">
      <c r="A10" s="16" t="s">
        <v>78</v>
      </c>
      <c r="B10" s="17"/>
      <c r="C10" s="17"/>
      <c r="D10" s="17"/>
      <c r="E10" s="17"/>
      <c r="F10" s="17"/>
      <c r="G10" s="17"/>
      <c r="H10" s="17"/>
      <c r="I10" s="17"/>
      <c r="J10" s="17"/>
    </row>
    <row r="11" spans="1:10" ht="14.25">
      <c r="A11" s="16" t="s">
        <v>79</v>
      </c>
      <c r="B11" s="17"/>
      <c r="C11" s="17"/>
      <c r="D11" s="17"/>
      <c r="E11" s="17"/>
      <c r="F11" s="17"/>
      <c r="G11" s="17"/>
      <c r="H11" s="17"/>
    </row>
    <row r="12" spans="1:10" ht="14.25">
      <c r="A12" s="10" t="s">
        <v>80</v>
      </c>
    </row>
    <row r="13" spans="1:10" ht="14.25">
      <c r="A13" s="16" t="s">
        <v>81</v>
      </c>
      <c r="B13" s="17"/>
      <c r="C13" s="17"/>
      <c r="D13" s="17"/>
      <c r="E13" s="17"/>
      <c r="F13" s="17"/>
      <c r="G13" s="17"/>
      <c r="H13" s="17"/>
    </row>
    <row r="14" spans="1:10">
      <c r="A14" s="11"/>
    </row>
    <row r="15" spans="1:10" ht="15.75">
      <c r="A15" s="12" t="s">
        <v>82</v>
      </c>
    </row>
    <row r="16" spans="1:10" ht="14.25">
      <c r="A16" s="9" t="s">
        <v>75</v>
      </c>
    </row>
    <row r="17" spans="1:9" ht="14.25">
      <c r="A17" s="10" t="s">
        <v>83</v>
      </c>
    </row>
    <row r="18" spans="1:9" ht="14.25">
      <c r="A18" s="16" t="s">
        <v>84</v>
      </c>
      <c r="B18" s="17"/>
      <c r="C18" s="17"/>
      <c r="D18" s="17"/>
      <c r="E18" s="17"/>
      <c r="F18" s="17"/>
      <c r="G18" s="17"/>
      <c r="H18" s="17"/>
      <c r="I18" s="17"/>
    </row>
    <row r="19" spans="1:9" ht="14.25">
      <c r="A19" s="16" t="s">
        <v>85</v>
      </c>
      <c r="B19" s="17"/>
      <c r="C19" s="17"/>
      <c r="D19" s="17"/>
      <c r="E19" s="17"/>
      <c r="F19" s="17"/>
      <c r="G19" s="17"/>
      <c r="H19" s="17"/>
      <c r="I19" s="17"/>
    </row>
    <row r="20" spans="1:9" ht="14.25">
      <c r="A20" s="16" t="s">
        <v>86</v>
      </c>
      <c r="B20" s="17"/>
      <c r="C20" s="17"/>
      <c r="D20" s="17"/>
      <c r="E20" s="17"/>
      <c r="F20" s="17"/>
      <c r="G20" s="17"/>
      <c r="H20" s="17"/>
      <c r="I20" s="17"/>
    </row>
    <row r="21" spans="1:9" ht="14.25">
      <c r="A21" s="10" t="s">
        <v>87</v>
      </c>
    </row>
    <row r="22" spans="1:9">
      <c r="A22" s="13"/>
    </row>
    <row r="23" spans="1:9" ht="15.75">
      <c r="A23" s="12" t="s">
        <v>88</v>
      </c>
    </row>
    <row r="24" spans="1:9" ht="14.25">
      <c r="A24" s="14" t="s">
        <v>89</v>
      </c>
    </row>
    <row r="25" spans="1:9" ht="14.25">
      <c r="A25" s="15" t="s">
        <v>90</v>
      </c>
    </row>
    <row r="26" spans="1:9" ht="14.25">
      <c r="A26" s="15" t="s">
        <v>91</v>
      </c>
    </row>
    <row r="27" spans="1:9" ht="14.25">
      <c r="A27" s="18" t="s">
        <v>92</v>
      </c>
      <c r="B27" s="17"/>
      <c r="C27" s="17"/>
      <c r="D27" s="17"/>
      <c r="E27" s="17"/>
      <c r="F27" s="17"/>
    </row>
    <row r="28" spans="1:9" ht="14.25">
      <c r="A28" s="15" t="s">
        <v>93</v>
      </c>
    </row>
    <row r="29" spans="1:9" ht="14.25">
      <c r="A29" s="15" t="s">
        <v>94</v>
      </c>
    </row>
    <row r="30" spans="1:9" ht="14.25">
      <c r="A30" s="15" t="s">
        <v>95</v>
      </c>
    </row>
    <row r="31" spans="1:9">
      <c r="A31" s="11"/>
    </row>
    <row r="32" spans="1:9" ht="14.25">
      <c r="A32" s="19" t="s">
        <v>96</v>
      </c>
    </row>
    <row r="33" spans="1:14" ht="14.65" thickBot="1">
      <c r="A33" s="20" t="s">
        <v>97</v>
      </c>
    </row>
    <row r="34" spans="1:14" ht="15" thickTop="1" thickBot="1">
      <c r="A34" s="20" t="s">
        <v>101</v>
      </c>
      <c r="C34">
        <f>1+F/10</f>
        <v>1.6</v>
      </c>
      <c r="D34" s="25" t="s">
        <v>102</v>
      </c>
      <c r="E34" s="25" t="s">
        <v>103</v>
      </c>
      <c r="G34" s="33">
        <f>2*dt</f>
        <v>3.2</v>
      </c>
      <c r="H34" s="34" t="s">
        <v>102</v>
      </c>
    </row>
    <row r="35" spans="1:14" ht="14.65" thickTop="1">
      <c r="A35" s="20"/>
      <c r="K35" s="26" t="s">
        <v>108</v>
      </c>
      <c r="M35" s="25" t="s">
        <v>109</v>
      </c>
    </row>
    <row r="36" spans="1:14" ht="52.15" customHeight="1">
      <c r="A36" s="22" t="s">
        <v>98</v>
      </c>
      <c r="B36" s="23"/>
      <c r="C36" s="23"/>
      <c r="D36" s="23"/>
      <c r="E36" s="23"/>
      <c r="F36" s="23"/>
      <c r="G36" s="23"/>
      <c r="H36" s="23"/>
      <c r="I36" s="23"/>
    </row>
    <row r="37" spans="1:14" ht="14.25">
      <c r="A37" s="20" t="s">
        <v>97</v>
      </c>
      <c r="L37" s="25" t="s">
        <v>107</v>
      </c>
      <c r="N37" s="25" t="s">
        <v>106</v>
      </c>
    </row>
    <row r="38" spans="1:14" ht="14.65" thickBot="1">
      <c r="A38" s="20" t="s">
        <v>104</v>
      </c>
      <c r="B38">
        <f>-(2+F/10)</f>
        <v>-2.6</v>
      </c>
      <c r="C38" s="25" t="s">
        <v>105</v>
      </c>
      <c r="D38" s="27" t="s">
        <v>110</v>
      </c>
      <c r="F38" s="25" t="s">
        <v>111</v>
      </c>
    </row>
    <row r="39" spans="1:14" ht="15" thickTop="1" thickBot="1">
      <c r="A39" s="20" t="s">
        <v>112</v>
      </c>
      <c r="B39" s="33">
        <f>B38+3</f>
        <v>0.39999999999999991</v>
      </c>
      <c r="C39" s="34" t="s">
        <v>105</v>
      </c>
    </row>
    <row r="40" spans="1:14" ht="14.65" thickTop="1">
      <c r="A40" s="20"/>
      <c r="C40" s="25"/>
    </row>
    <row r="41" spans="1:14" ht="14.25">
      <c r="A41" s="20"/>
      <c r="C41" s="25"/>
    </row>
    <row r="42" spans="1:14" ht="63.4" customHeight="1">
      <c r="A42" s="22" t="s">
        <v>99</v>
      </c>
      <c r="B42" s="23"/>
      <c r="C42" s="23"/>
      <c r="D42" s="23"/>
      <c r="E42" s="23"/>
      <c r="F42" s="23"/>
      <c r="G42" s="23"/>
      <c r="H42" s="23"/>
      <c r="I42" s="23"/>
    </row>
    <row r="43" spans="1:14" ht="14.25">
      <c r="A43" s="20" t="s">
        <v>97</v>
      </c>
      <c r="K43" s="26" t="s">
        <v>113</v>
      </c>
      <c r="L43" s="26" t="s">
        <v>114</v>
      </c>
    </row>
    <row r="44" spans="1:14" ht="14.25">
      <c r="A44" s="20"/>
      <c r="E44" s="25" t="s">
        <v>115</v>
      </c>
      <c r="G44" s="25" t="s">
        <v>117</v>
      </c>
      <c r="H44">
        <v>0</v>
      </c>
      <c r="I44" s="25" t="s">
        <v>118</v>
      </c>
    </row>
    <row r="45" spans="1:14" ht="14.25">
      <c r="A45" s="20" t="s">
        <v>123</v>
      </c>
      <c r="C45">
        <f>1+F/4</f>
        <v>2.5</v>
      </c>
      <c r="D45" s="25" t="s">
        <v>105</v>
      </c>
      <c r="G45" s="25" t="s">
        <v>121</v>
      </c>
      <c r="H45">
        <f>40+E</f>
        <v>45</v>
      </c>
      <c r="I45" s="25" t="s">
        <v>118</v>
      </c>
    </row>
    <row r="46" spans="1:14" ht="14.25">
      <c r="A46" s="20" t="s">
        <v>124</v>
      </c>
      <c r="C46">
        <f>10^(-(1+F/4)/20)</f>
        <v>0.74989420933245587</v>
      </c>
      <c r="E46" s="28" t="s">
        <v>120</v>
      </c>
    </row>
    <row r="47" spans="1:14" ht="14.25">
      <c r="A47" s="20"/>
      <c r="D47" s="25" t="s">
        <v>119</v>
      </c>
      <c r="G47" s="29" t="s">
        <v>122</v>
      </c>
      <c r="I47">
        <v>1</v>
      </c>
    </row>
    <row r="48" spans="1:14" ht="14.65" thickBot="1">
      <c r="A48" s="20"/>
      <c r="G48" s="30" t="s">
        <v>125</v>
      </c>
      <c r="K48">
        <f>Arefl*COS((90-40-E)*PI()/180)</f>
        <v>0.53025528059150395</v>
      </c>
    </row>
    <row r="49" spans="1:11" ht="15" thickTop="1" thickBot="1">
      <c r="A49" s="20"/>
      <c r="E49" s="25" t="s">
        <v>116</v>
      </c>
      <c r="G49" s="25" t="s">
        <v>133</v>
      </c>
      <c r="J49" s="32">
        <f>(Afig8^2)/(Adir^2+Arefl^2)</f>
        <v>0.17996750009855747</v>
      </c>
    </row>
    <row r="50" spans="1:11" ht="14.65" thickTop="1">
      <c r="A50" s="20"/>
    </row>
    <row r="51" spans="1:11">
      <c r="A51" s="21"/>
    </row>
    <row r="52" spans="1:11" ht="14.25">
      <c r="A52" s="20" t="s">
        <v>100</v>
      </c>
    </row>
    <row r="53" spans="1:11" ht="14.65" thickBot="1">
      <c r="A53" s="20" t="s">
        <v>97</v>
      </c>
    </row>
    <row r="54" spans="1:11" ht="15" thickTop="1" thickBot="1">
      <c r="A54" s="20" t="s">
        <v>126</v>
      </c>
      <c r="B54">
        <f>10+F</f>
        <v>16</v>
      </c>
      <c r="C54" s="25" t="s">
        <v>127</v>
      </c>
      <c r="E54">
        <f>2^(B54)-1</f>
        <v>65535</v>
      </c>
      <c r="F54" s="25" t="s">
        <v>128</v>
      </c>
      <c r="G54" s="25" t="s">
        <v>129</v>
      </c>
      <c r="J54" s="33">
        <f>E54/48000</f>
        <v>1.3653124999999999</v>
      </c>
      <c r="K54" s="34" t="s">
        <v>102</v>
      </c>
    </row>
    <row r="55" spans="1:11" ht="14.65" thickTop="1">
      <c r="A55" s="19"/>
    </row>
    <row r="56" spans="1:11" ht="30.75" customHeight="1">
      <c r="A56" s="24" t="s">
        <v>11</v>
      </c>
      <c r="B56" s="23"/>
      <c r="C56" s="23"/>
      <c r="D56" s="23"/>
      <c r="E56" s="23"/>
      <c r="F56" s="23"/>
      <c r="G56" s="23"/>
      <c r="H56" s="23"/>
      <c r="I56" s="23"/>
    </row>
    <row r="57" spans="1:11" ht="14.25">
      <c r="A57" s="20" t="s">
        <v>97</v>
      </c>
    </row>
    <row r="58" spans="1:11" ht="14.25">
      <c r="A58" s="20" t="s">
        <v>130</v>
      </c>
      <c r="B58" s="31">
        <f>(70+F)/100</f>
        <v>0.76</v>
      </c>
      <c r="E58" s="25" t="s">
        <v>131</v>
      </c>
      <c r="F58">
        <f>5+E</f>
        <v>10</v>
      </c>
      <c r="G58" s="25" t="s">
        <v>105</v>
      </c>
    </row>
    <row r="59" spans="1:11">
      <c r="A59" s="21"/>
    </row>
    <row r="60" spans="1:11" ht="14.65" thickBot="1">
      <c r="A60" s="12"/>
    </row>
    <row r="61" spans="1:11" ht="13.5" thickTop="1" thickBot="1">
      <c r="F61" s="25" t="s">
        <v>132</v>
      </c>
      <c r="J61" s="35">
        <f>STI_1*(1/(1+10^(-SNratio/10)))</f>
        <v>0.69090909090909092</v>
      </c>
    </row>
    <row r="62" spans="1:11" ht="13.15" thickTop="1"/>
  </sheetData>
  <mergeCells count="3">
    <mergeCell ref="A36:I36"/>
    <mergeCell ref="A42:I42"/>
    <mergeCell ref="A56:I5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shapeId="2054" r:id="rId4">
          <objectPr defaultSize="0" autoPict="0" r:id="rId5">
            <anchor moveWithCells="1">
              <from>
                <xdr:col>0</xdr:col>
                <xdr:colOff>19050</xdr:colOff>
                <xdr:row>58</xdr:row>
                <xdr:rowOff>76200</xdr:rowOff>
              </from>
              <to>
                <xdr:col>3</xdr:col>
                <xdr:colOff>642938</xdr:colOff>
                <xdr:row>63</xdr:row>
                <xdr:rowOff>9525</xdr:rowOff>
              </to>
            </anchor>
          </objectPr>
        </oleObject>
      </mc:Choice>
      <mc:Fallback>
        <oleObject shapeId="2054" r:id="rId4"/>
      </mc:Fallback>
    </mc:AlternateContent>
    <mc:AlternateContent xmlns:mc="http://schemas.openxmlformats.org/markup-compatibility/2006">
      <mc:Choice Requires="x14">
        <oleObject shapeId="2055" r:id="rId6">
          <objectPr defaultSize="0" autoPict="0" r:id="rId7">
            <anchor moveWithCells="1">
              <from>
                <xdr:col>7</xdr:col>
                <xdr:colOff>433388</xdr:colOff>
                <xdr:row>35</xdr:row>
                <xdr:rowOff>504825</xdr:rowOff>
              </from>
              <to>
                <xdr:col>9</xdr:col>
                <xdr:colOff>519113</xdr:colOff>
                <xdr:row>39</xdr:row>
                <xdr:rowOff>100013</xdr:rowOff>
              </to>
            </anchor>
          </objectPr>
        </oleObject>
      </mc:Choice>
      <mc:Fallback>
        <oleObject shapeId="2055" r:id="rId6"/>
      </mc:Fallback>
    </mc:AlternateContent>
    <mc:AlternateContent xmlns:mc="http://schemas.openxmlformats.org/markup-compatibility/2006">
      <mc:Choice Requires="x14">
        <oleObject shapeId="2056" r:id="rId8">
          <objectPr defaultSize="0" autoPict="0" r:id="rId9">
            <anchor moveWithCells="1">
              <from>
                <xdr:col>11</xdr:col>
                <xdr:colOff>104775</xdr:colOff>
                <xdr:row>43</xdr:row>
                <xdr:rowOff>76200</xdr:rowOff>
              </from>
              <to>
                <xdr:col>13</xdr:col>
                <xdr:colOff>319088</xdr:colOff>
                <xdr:row>49</xdr:row>
                <xdr:rowOff>95250</xdr:rowOff>
              </to>
            </anchor>
          </objectPr>
        </oleObject>
      </mc:Choice>
      <mc:Fallback>
        <oleObject shapeId="2056"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U11"/>
  <sheetViews>
    <sheetView zoomScale="120" zoomScaleNormal="120" workbookViewId="0">
      <pane ySplit="1" topLeftCell="A2" activePane="bottomLeft" state="frozen"/>
      <selection pane="bottomLeft"/>
    </sheetView>
  </sheetViews>
  <sheetFormatPr defaultColWidth="12.59765625" defaultRowHeight="15.75" customHeight="1"/>
  <cols>
    <col min="1" max="1" width="4.19921875" customWidth="1"/>
    <col min="2" max="4" width="18.86328125" customWidth="1"/>
    <col min="5" max="5" width="9.86328125" customWidth="1"/>
    <col min="6" max="11" width="3" customWidth="1"/>
    <col min="12" max="12" width="18.86328125" customWidth="1"/>
    <col min="13" max="18" width="3.1328125" customWidth="1"/>
    <col min="19" max="19" width="18.86328125" customWidth="1"/>
    <col min="20" max="24" width="2.796875" customWidth="1"/>
    <col min="25" max="25" width="18.86328125" customWidth="1"/>
    <col min="26" max="26" width="4.9296875" customWidth="1"/>
    <col min="27" max="27" width="22.19921875" customWidth="1"/>
    <col min="28" max="28" width="9" customWidth="1"/>
    <col min="29" max="30" width="6.46484375" customWidth="1"/>
    <col min="31" max="31" width="26.1328125" customWidth="1"/>
    <col min="32" max="32" width="8.6640625" customWidth="1"/>
    <col min="33" max="34" width="6.86328125" customWidth="1"/>
    <col min="35" max="35" width="18.86328125" customWidth="1"/>
    <col min="36" max="36" width="8.53125" customWidth="1"/>
    <col min="37" max="38" width="6.796875" customWidth="1"/>
    <col min="39" max="39" width="22.796875" customWidth="1"/>
    <col min="40" max="40" width="8.6640625" customWidth="1"/>
    <col min="41" max="41" width="7.1328125" customWidth="1"/>
    <col min="42" max="42" width="6.1328125" customWidth="1"/>
    <col min="43" max="43" width="18.86328125" customWidth="1"/>
    <col min="44" max="44" width="8.53125" customWidth="1"/>
    <col min="45" max="45" width="6.9296875" customWidth="1"/>
    <col min="46" max="46" width="5.73046875" customWidth="1"/>
    <col min="47" max="47" width="8.33203125" customWidth="1"/>
    <col min="48" max="49" width="18.86328125" customWidth="1"/>
  </cols>
  <sheetData>
    <row r="1" spans="1:47" ht="14.25" thickTop="1">
      <c r="A1" s="43" t="s">
        <v>134</v>
      </c>
      <c r="B1" s="73" t="s">
        <v>0</v>
      </c>
      <c r="C1" s="73" t="s">
        <v>1</v>
      </c>
      <c r="D1" s="73" t="s">
        <v>2</v>
      </c>
      <c r="E1" s="43" t="s">
        <v>3</v>
      </c>
      <c r="F1" s="36" t="s">
        <v>67</v>
      </c>
      <c r="G1" s="36" t="s">
        <v>68</v>
      </c>
      <c r="H1" s="36" t="s">
        <v>69</v>
      </c>
      <c r="I1" s="36" t="s">
        <v>70</v>
      </c>
      <c r="J1" s="36" t="s">
        <v>71</v>
      </c>
      <c r="K1" s="36" t="s">
        <v>72</v>
      </c>
      <c r="L1" s="73" t="s">
        <v>4</v>
      </c>
      <c r="M1" s="38">
        <v>-1</v>
      </c>
      <c r="N1" s="38">
        <v>-1</v>
      </c>
      <c r="O1" s="38">
        <v>1</v>
      </c>
      <c r="P1" s="38">
        <v>1</v>
      </c>
      <c r="Q1" s="38">
        <v>-1</v>
      </c>
      <c r="R1" s="38">
        <v>1</v>
      </c>
      <c r="S1" s="73" t="s">
        <v>5</v>
      </c>
      <c r="T1" s="40">
        <v>-1</v>
      </c>
      <c r="U1" s="40">
        <v>1</v>
      </c>
      <c r="V1" s="40">
        <v>1</v>
      </c>
      <c r="W1" s="40">
        <v>1</v>
      </c>
      <c r="X1" s="40">
        <v>-1</v>
      </c>
      <c r="Y1" s="73" t="s">
        <v>6</v>
      </c>
      <c r="Z1" s="38" t="s">
        <v>135</v>
      </c>
      <c r="AA1" s="73" t="s">
        <v>7</v>
      </c>
      <c r="AB1" s="41" t="s">
        <v>136</v>
      </c>
      <c r="AC1" s="42" t="s">
        <v>137</v>
      </c>
      <c r="AD1" s="43" t="s">
        <v>135</v>
      </c>
      <c r="AE1" s="73" t="s">
        <v>8</v>
      </c>
      <c r="AF1" s="41" t="s">
        <v>136</v>
      </c>
      <c r="AG1" s="42" t="s">
        <v>137</v>
      </c>
      <c r="AH1" s="43" t="s">
        <v>135</v>
      </c>
      <c r="AI1" s="73" t="s">
        <v>9</v>
      </c>
      <c r="AJ1" s="41" t="s">
        <v>136</v>
      </c>
      <c r="AK1" s="42" t="s">
        <v>137</v>
      </c>
      <c r="AL1" s="43" t="s">
        <v>135</v>
      </c>
      <c r="AM1" s="73" t="s">
        <v>10</v>
      </c>
      <c r="AN1" s="41" t="s">
        <v>136</v>
      </c>
      <c r="AO1" s="42" t="s">
        <v>137</v>
      </c>
      <c r="AP1" s="43" t="s">
        <v>135</v>
      </c>
      <c r="AQ1" s="73" t="s">
        <v>11</v>
      </c>
      <c r="AR1" s="41" t="s">
        <v>136</v>
      </c>
      <c r="AS1" s="42" t="s">
        <v>137</v>
      </c>
      <c r="AT1" s="43" t="s">
        <v>135</v>
      </c>
      <c r="AU1" s="50" t="s">
        <v>138</v>
      </c>
    </row>
    <row r="2" spans="1:47" ht="13.15">
      <c r="A2" s="51">
        <v>1</v>
      </c>
      <c r="B2" s="52">
        <v>44879.403505289352</v>
      </c>
      <c r="C2" s="53" t="s">
        <v>12</v>
      </c>
      <c r="D2" s="53" t="s">
        <v>13</v>
      </c>
      <c r="E2" s="54">
        <v>340594</v>
      </c>
      <c r="F2" s="37">
        <f t="shared" ref="F2:F9" si="0">INT(E2/100000)</f>
        <v>3</v>
      </c>
      <c r="G2" s="37">
        <f t="shared" ref="G2:G9" si="1">INT(($E2-100000*F2)/10000)</f>
        <v>4</v>
      </c>
      <c r="H2" s="37">
        <f t="shared" ref="H2:H9" si="2">INT(($E2-100000*F2-10000*G2)/1000)</f>
        <v>0</v>
      </c>
      <c r="I2" s="37">
        <f t="shared" ref="I2:I10" si="3">INT(($E2-100000*$F2-10000*$G2-1000*$H2)/100)</f>
        <v>5</v>
      </c>
      <c r="J2" s="37">
        <f t="shared" ref="J2:J10" si="4">INT(($E2-100000*$F2-10000*$G2-1000*$H2-100*$I2)/10)</f>
        <v>9</v>
      </c>
      <c r="K2" s="37">
        <f t="shared" ref="K2:K10" si="5">INT(($E2-100000*$F2-10000*$G2-1000*$H2-100*$I2-10*$J2))</f>
        <v>4</v>
      </c>
      <c r="L2" s="53" t="s">
        <v>14</v>
      </c>
      <c r="M2" s="39">
        <f>IF(ISERROR(FIND("using an impulsive source",L2,1)),0,M$1)</f>
        <v>0</v>
      </c>
      <c r="N2" s="39">
        <f>IF(ISERROR(FIND("using special test signals",L2,1)),0,N$1)</f>
        <v>-1</v>
      </c>
      <c r="O2" s="39">
        <f>IF(ISERROR(FIND("using any kind of test signal",L2,1)),0,O$1)</f>
        <v>1</v>
      </c>
      <c r="P2" s="39">
        <f>IF(ISERROR(FIND("narrow-band spectrum",L2,1)),0,P$1)</f>
        <v>0</v>
      </c>
      <c r="Q2" s="39">
        <f>IF(ISERROR(FIND("octave-bands spectrum",L2,1)),0,Q$1)</f>
        <v>0</v>
      </c>
      <c r="R2" s="39">
        <f>IF(ISERROR(FIND("provide a good S/N ratio",L2,1)),0,R$1)</f>
        <v>1</v>
      </c>
      <c r="S2" s="45"/>
      <c r="T2" s="39">
        <f>IF(ISERROR(FIND("no purpose",S2,1)),0,T$1)</f>
        <v>0</v>
      </c>
      <c r="U2" s="39">
        <f>IF(ISERROR(FIND("pair of &lt;omni&gt; + &lt;figure of 8&gt;",S2,1)),0,U$1)</f>
        <v>0</v>
      </c>
      <c r="V2" s="39">
        <f>IF(ISERROR(FIND("pair of binaural microphones",S2,1)),0,V$1)</f>
        <v>0</v>
      </c>
      <c r="W2" s="39">
        <f>IF(ISERROR(FIND("High Order Ambisonics",S2,1)),0,W$1)</f>
        <v>0</v>
      </c>
      <c r="X2" s="39">
        <f>IF(ISERROR(FIND("&lt;shotgun&gt; microphone",S2,1)),0,X$1)</f>
        <v>0</v>
      </c>
      <c r="Y2" s="53" t="s">
        <v>15</v>
      </c>
      <c r="Z2" s="39">
        <v>1</v>
      </c>
      <c r="AA2" s="53" t="s">
        <v>16</v>
      </c>
      <c r="AB2" s="44">
        <f>(1+K2/10)*2</f>
        <v>2.8</v>
      </c>
      <c r="AC2" s="46" t="s">
        <v>102</v>
      </c>
      <c r="AD2" s="39">
        <v>1</v>
      </c>
      <c r="AE2" s="45"/>
      <c r="AF2" s="48">
        <f>-(2+K2/10)+3</f>
        <v>0.60000000000000009</v>
      </c>
      <c r="AG2" s="46" t="s">
        <v>105</v>
      </c>
      <c r="AH2" s="39">
        <v>0</v>
      </c>
      <c r="AI2" s="45"/>
      <c r="AJ2" s="47">
        <f>(((10^(-(1+K2/4)/20))*COS((90-40-E)*PI()/180))^2)/(1+(10^(-(1+K2/4)/20))^2)</f>
        <v>0.19343158992342852</v>
      </c>
      <c r="AK2" s="46"/>
      <c r="AL2" s="39">
        <v>0</v>
      </c>
      <c r="AM2" s="45"/>
      <c r="AN2" s="47">
        <f>(2^(10+K2)-1)/48000</f>
        <v>0.34131250000000002</v>
      </c>
      <c r="AO2" s="46" t="s">
        <v>102</v>
      </c>
      <c r="AP2" s="39">
        <v>0</v>
      </c>
      <c r="AQ2" s="55"/>
      <c r="AR2" s="49">
        <f>(70+K2)/100*(1/(1+10^(-(5+J2)/10)))</f>
        <v>0.71166798712713153</v>
      </c>
      <c r="AS2" s="46"/>
      <c r="AT2" s="39">
        <v>0</v>
      </c>
      <c r="AU2" s="56">
        <f>SUM(M2:R2)+SUM(T2:X2)+Z2+AD2+AH2+AL2+AP2+AT2</f>
        <v>3</v>
      </c>
    </row>
    <row r="3" spans="1:47" ht="13.15">
      <c r="A3" s="51">
        <v>2</v>
      </c>
      <c r="B3" s="52">
        <v>44879.404381203705</v>
      </c>
      <c r="C3" s="53" t="s">
        <v>17</v>
      </c>
      <c r="D3" s="53" t="s">
        <v>18</v>
      </c>
      <c r="E3" s="54">
        <v>333808</v>
      </c>
      <c r="F3" s="37">
        <f t="shared" si="0"/>
        <v>3</v>
      </c>
      <c r="G3" s="37">
        <f t="shared" si="1"/>
        <v>3</v>
      </c>
      <c r="H3" s="37">
        <f t="shared" si="2"/>
        <v>3</v>
      </c>
      <c r="I3" s="37">
        <f t="shared" si="3"/>
        <v>8</v>
      </c>
      <c r="J3" s="37">
        <f t="shared" si="4"/>
        <v>0</v>
      </c>
      <c r="K3" s="37">
        <f t="shared" si="5"/>
        <v>8</v>
      </c>
      <c r="L3" s="53" t="s">
        <v>19</v>
      </c>
      <c r="M3" s="39">
        <f t="shared" ref="M3:M10" si="6">IF(ISERROR(FIND("using an impulsive source",L3,1)),0,M$1)</f>
        <v>0</v>
      </c>
      <c r="N3" s="39">
        <f t="shared" ref="N3:N10" si="7">IF(ISERROR(FIND("using special test signals",L3,1)),0,N$1)</f>
        <v>0</v>
      </c>
      <c r="O3" s="39">
        <f t="shared" ref="O3:O10" si="8">IF(ISERROR(FIND("using any kind of test signal",L3,1)),0,O$1)</f>
        <v>1</v>
      </c>
      <c r="P3" s="39">
        <f t="shared" ref="P3:P10" si="9">IF(ISERROR(FIND("narrow-band spectrum",L3,1)),0,P$1)</f>
        <v>0</v>
      </c>
      <c r="Q3" s="39">
        <f t="shared" ref="Q3:Q10" si="10">IF(ISERROR(FIND("octave-bands spectrum",L3,1)),0,Q$1)</f>
        <v>-1</v>
      </c>
      <c r="R3" s="39">
        <f t="shared" ref="R3:R10" si="11">IF(ISERROR(FIND("provide a good S/N ratio",L3,1)),0,R$1)</f>
        <v>0</v>
      </c>
      <c r="S3" s="53" t="s">
        <v>20</v>
      </c>
      <c r="T3" s="39">
        <f t="shared" ref="T3:T10" si="12">IF(ISERROR(FIND("no purpose",S3,1)),0,T$1)</f>
        <v>0</v>
      </c>
      <c r="U3" s="39">
        <f t="shared" ref="U3:U10" si="13">IF(ISERROR(FIND("pair of &lt;omni&gt; + &lt;figure of 8&gt;",S3,1)),0,U$1)</f>
        <v>1</v>
      </c>
      <c r="V3" s="39">
        <f t="shared" ref="V3:V10" si="14">IF(ISERROR(FIND("pair of binaural microphones",S3,1)),0,V$1)</f>
        <v>1</v>
      </c>
      <c r="W3" s="39">
        <f t="shared" ref="W3:W10" si="15">IF(ISERROR(FIND("High Order Ambisonics",S3,1)),0,W$1)</f>
        <v>0</v>
      </c>
      <c r="X3" s="39">
        <f t="shared" ref="X3:X10" si="16">IF(ISERROR(FIND("&lt;shotgun&gt; microphone",S3,1)),0,X$1)</f>
        <v>0</v>
      </c>
      <c r="Y3" s="53" t="s">
        <v>15</v>
      </c>
      <c r="Z3" s="39">
        <v>1</v>
      </c>
      <c r="AA3" s="53" t="s">
        <v>21</v>
      </c>
      <c r="AB3" s="44">
        <f t="shared" ref="AB3:AB10" si="17">(1+K3/10)*2</f>
        <v>3.6</v>
      </c>
      <c r="AC3" s="46" t="s">
        <v>102</v>
      </c>
      <c r="AD3" s="39">
        <v>1</v>
      </c>
      <c r="AE3" s="53" t="s">
        <v>22</v>
      </c>
      <c r="AF3" s="48">
        <f t="shared" ref="AF3:AF10" si="18">-(2+K3/10)+3</f>
        <v>0.20000000000000018</v>
      </c>
      <c r="AG3" s="46" t="s">
        <v>105</v>
      </c>
      <c r="AH3" s="39">
        <v>1</v>
      </c>
      <c r="AI3" s="45"/>
      <c r="AJ3" s="47">
        <f>(((10^(-(1+K3/4)/20))*COS((90-40-E)*PI()/180))^2)/(1+(10^(-(1+K3/4)/20))^2)</f>
        <v>0.16693028770843898</v>
      </c>
      <c r="AK3" s="46"/>
      <c r="AL3" s="39">
        <v>0</v>
      </c>
      <c r="AM3" s="53" t="s">
        <v>23</v>
      </c>
      <c r="AN3" s="47">
        <f t="shared" ref="AN3:AN10" si="19">(2^(10+K3)-1)/48000</f>
        <v>5.4613125</v>
      </c>
      <c r="AO3" s="46" t="s">
        <v>102</v>
      </c>
      <c r="AP3" s="39">
        <v>1</v>
      </c>
      <c r="AQ3" s="57">
        <v>0.59</v>
      </c>
      <c r="AR3" s="49">
        <f t="shared" ref="AR3:AR10" si="20">(70+K3)/100*(1/(1+10^(-(5+J3)/10)))</f>
        <v>0.59260260278540711</v>
      </c>
      <c r="AS3" s="46"/>
      <c r="AT3" s="39">
        <v>1</v>
      </c>
      <c r="AU3" s="56">
        <f t="shared" ref="AU3:AU10" si="21">SUM(M3:R3)+SUM(T3:X3)+Z3+AD3+AH3+AL3+AP3+AT3</f>
        <v>7</v>
      </c>
    </row>
    <row r="4" spans="1:47" ht="13.15">
      <c r="A4" s="51">
        <v>3</v>
      </c>
      <c r="B4" s="52">
        <v>44879.405992465283</v>
      </c>
      <c r="C4" s="53" t="s">
        <v>24</v>
      </c>
      <c r="D4" s="53" t="s">
        <v>25</v>
      </c>
      <c r="E4" s="54">
        <v>350971</v>
      </c>
      <c r="F4" s="37">
        <f t="shared" si="0"/>
        <v>3</v>
      </c>
      <c r="G4" s="37">
        <f t="shared" si="1"/>
        <v>5</v>
      </c>
      <c r="H4" s="37">
        <f t="shared" si="2"/>
        <v>0</v>
      </c>
      <c r="I4" s="37">
        <f t="shared" si="3"/>
        <v>9</v>
      </c>
      <c r="J4" s="37">
        <f t="shared" si="4"/>
        <v>7</v>
      </c>
      <c r="K4" s="37">
        <f t="shared" si="5"/>
        <v>1</v>
      </c>
      <c r="L4" s="53" t="s">
        <v>26</v>
      </c>
      <c r="M4" s="39">
        <f t="shared" si="6"/>
        <v>0</v>
      </c>
      <c r="N4" s="39">
        <f t="shared" si="7"/>
        <v>0</v>
      </c>
      <c r="O4" s="39">
        <f t="shared" si="8"/>
        <v>1</v>
      </c>
      <c r="P4" s="39">
        <f t="shared" si="9"/>
        <v>0</v>
      </c>
      <c r="Q4" s="39">
        <f t="shared" si="10"/>
        <v>0</v>
      </c>
      <c r="R4" s="39">
        <f t="shared" si="11"/>
        <v>0</v>
      </c>
      <c r="S4" s="53" t="s">
        <v>27</v>
      </c>
      <c r="T4" s="39">
        <f t="shared" si="12"/>
        <v>0</v>
      </c>
      <c r="U4" s="39">
        <f t="shared" si="13"/>
        <v>0</v>
      </c>
      <c r="V4" s="39">
        <f t="shared" si="14"/>
        <v>1</v>
      </c>
      <c r="W4" s="39">
        <f t="shared" si="15"/>
        <v>0</v>
      </c>
      <c r="X4" s="39">
        <f t="shared" si="16"/>
        <v>0</v>
      </c>
      <c r="Y4" s="53" t="s">
        <v>15</v>
      </c>
      <c r="Z4" s="39">
        <v>1</v>
      </c>
      <c r="AA4" s="53" t="s">
        <v>28</v>
      </c>
      <c r="AB4" s="44">
        <f t="shared" si="17"/>
        <v>2.2000000000000002</v>
      </c>
      <c r="AC4" s="46" t="s">
        <v>102</v>
      </c>
      <c r="AD4" s="39">
        <v>-1</v>
      </c>
      <c r="AE4" s="53" t="s">
        <v>29</v>
      </c>
      <c r="AF4" s="48">
        <f t="shared" si="18"/>
        <v>0.89999999999999991</v>
      </c>
      <c r="AG4" s="46" t="s">
        <v>105</v>
      </c>
      <c r="AH4" s="39">
        <v>1</v>
      </c>
      <c r="AI4" s="45"/>
      <c r="AJ4" s="47">
        <f>(((10^(-(1+K4/4)/20))*COS((90-40-E)*PI()/180))^2)/(1+(10^(-(1+K4/4)/20))^2)</f>
        <v>0.21426844129580938</v>
      </c>
      <c r="AK4" s="46"/>
      <c r="AL4" s="39">
        <v>0</v>
      </c>
      <c r="AM4" s="53" t="s">
        <v>30</v>
      </c>
      <c r="AN4" s="47">
        <f t="shared" si="19"/>
        <v>4.2645833333333334E-2</v>
      </c>
      <c r="AO4" s="46" t="s">
        <v>102</v>
      </c>
      <c r="AP4" s="39">
        <v>-1</v>
      </c>
      <c r="AQ4" s="58" t="s">
        <v>31</v>
      </c>
      <c r="AR4" s="49">
        <f t="shared" si="20"/>
        <v>0.66786083039703492</v>
      </c>
      <c r="AS4" s="46"/>
      <c r="AT4" s="39">
        <v>1</v>
      </c>
      <c r="AU4" s="56">
        <f t="shared" si="21"/>
        <v>3</v>
      </c>
    </row>
    <row r="5" spans="1:47" ht="13.15">
      <c r="A5" s="51">
        <v>4</v>
      </c>
      <c r="B5" s="52">
        <v>44879.405999583338</v>
      </c>
      <c r="C5" s="53" t="s">
        <v>32</v>
      </c>
      <c r="D5" s="53" t="s">
        <v>33</v>
      </c>
      <c r="E5" s="54">
        <v>330937</v>
      </c>
      <c r="F5" s="37">
        <f t="shared" si="0"/>
        <v>3</v>
      </c>
      <c r="G5" s="37">
        <f t="shared" si="1"/>
        <v>3</v>
      </c>
      <c r="H5" s="37">
        <f t="shared" si="2"/>
        <v>0</v>
      </c>
      <c r="I5" s="37">
        <f t="shared" si="3"/>
        <v>9</v>
      </c>
      <c r="J5" s="37">
        <f t="shared" si="4"/>
        <v>3</v>
      </c>
      <c r="K5" s="37">
        <f t="shared" si="5"/>
        <v>7</v>
      </c>
      <c r="L5" s="53" t="s">
        <v>34</v>
      </c>
      <c r="M5" s="39">
        <f t="shared" si="6"/>
        <v>0</v>
      </c>
      <c r="N5" s="39">
        <f t="shared" si="7"/>
        <v>-1</v>
      </c>
      <c r="O5" s="39">
        <f t="shared" si="8"/>
        <v>0</v>
      </c>
      <c r="P5" s="39">
        <f t="shared" si="9"/>
        <v>0</v>
      </c>
      <c r="Q5" s="39">
        <f t="shared" si="10"/>
        <v>-1</v>
      </c>
      <c r="R5" s="39">
        <f t="shared" si="11"/>
        <v>1</v>
      </c>
      <c r="S5" s="53" t="s">
        <v>20</v>
      </c>
      <c r="T5" s="39">
        <f t="shared" si="12"/>
        <v>0</v>
      </c>
      <c r="U5" s="39">
        <f t="shared" si="13"/>
        <v>1</v>
      </c>
      <c r="V5" s="39">
        <f t="shared" si="14"/>
        <v>1</v>
      </c>
      <c r="W5" s="39">
        <f t="shared" si="15"/>
        <v>0</v>
      </c>
      <c r="X5" s="39">
        <f t="shared" si="16"/>
        <v>0</v>
      </c>
      <c r="Y5" s="53" t="s">
        <v>15</v>
      </c>
      <c r="Z5" s="39">
        <v>1</v>
      </c>
      <c r="AA5" s="53" t="s">
        <v>35</v>
      </c>
      <c r="AB5" s="44">
        <f t="shared" si="17"/>
        <v>3.4</v>
      </c>
      <c r="AC5" s="46" t="s">
        <v>102</v>
      </c>
      <c r="AD5" s="39">
        <v>1</v>
      </c>
      <c r="AE5" s="45"/>
      <c r="AF5" s="48">
        <f t="shared" si="18"/>
        <v>0.29999999999999982</v>
      </c>
      <c r="AG5" s="46" t="s">
        <v>105</v>
      </c>
      <c r="AH5" s="39">
        <v>0</v>
      </c>
      <c r="AI5" s="45"/>
      <c r="AJ5" s="47">
        <f>(((10^(-(1+K5/4)/20))*COS((90-40-E)*PI()/180))^2)/(1+(10^(-(1+K5/4)/20))^2)</f>
        <v>0.17339141639056518</v>
      </c>
      <c r="AK5" s="46"/>
      <c r="AL5" s="39">
        <v>0</v>
      </c>
      <c r="AM5" s="45"/>
      <c r="AN5" s="47">
        <f t="shared" si="19"/>
        <v>2.7306458333333334</v>
      </c>
      <c r="AO5" s="46" t="s">
        <v>102</v>
      </c>
      <c r="AP5" s="39">
        <v>0</v>
      </c>
      <c r="AQ5" s="57">
        <v>0.5</v>
      </c>
      <c r="AR5" s="49">
        <f t="shared" si="20"/>
        <v>0.66465869577552839</v>
      </c>
      <c r="AS5" s="46"/>
      <c r="AT5" s="39">
        <v>-1</v>
      </c>
      <c r="AU5" s="56">
        <f t="shared" si="21"/>
        <v>2</v>
      </c>
    </row>
    <row r="6" spans="1:47" ht="13.15">
      <c r="A6" s="51">
        <v>5</v>
      </c>
      <c r="B6" s="52">
        <v>44879.406486793981</v>
      </c>
      <c r="C6" s="53" t="s">
        <v>36</v>
      </c>
      <c r="D6" s="53" t="s">
        <v>37</v>
      </c>
      <c r="E6" s="54">
        <v>336706</v>
      </c>
      <c r="F6" s="37">
        <f t="shared" si="0"/>
        <v>3</v>
      </c>
      <c r="G6" s="37">
        <f t="shared" si="1"/>
        <v>3</v>
      </c>
      <c r="H6" s="37">
        <f t="shared" si="2"/>
        <v>6</v>
      </c>
      <c r="I6" s="37">
        <f t="shared" si="3"/>
        <v>7</v>
      </c>
      <c r="J6" s="37">
        <f t="shared" si="4"/>
        <v>0</v>
      </c>
      <c r="K6" s="37">
        <f t="shared" si="5"/>
        <v>6</v>
      </c>
      <c r="L6" s="53" t="s">
        <v>38</v>
      </c>
      <c r="M6" s="39">
        <f t="shared" si="6"/>
        <v>0</v>
      </c>
      <c r="N6" s="39">
        <f t="shared" si="7"/>
        <v>0</v>
      </c>
      <c r="O6" s="39">
        <f t="shared" si="8"/>
        <v>1</v>
      </c>
      <c r="P6" s="39">
        <f t="shared" si="9"/>
        <v>1</v>
      </c>
      <c r="Q6" s="39">
        <f t="shared" si="10"/>
        <v>-1</v>
      </c>
      <c r="R6" s="39">
        <f t="shared" si="11"/>
        <v>0</v>
      </c>
      <c r="S6" s="53" t="s">
        <v>20</v>
      </c>
      <c r="T6" s="39">
        <f t="shared" si="12"/>
        <v>0</v>
      </c>
      <c r="U6" s="39">
        <f t="shared" si="13"/>
        <v>1</v>
      </c>
      <c r="V6" s="39">
        <f t="shared" si="14"/>
        <v>1</v>
      </c>
      <c r="W6" s="39">
        <f t="shared" si="15"/>
        <v>0</v>
      </c>
      <c r="X6" s="39">
        <f t="shared" si="16"/>
        <v>0</v>
      </c>
      <c r="Y6" s="53" t="s">
        <v>15</v>
      </c>
      <c r="Z6" s="39">
        <v>1</v>
      </c>
      <c r="AA6" s="53" t="s">
        <v>39</v>
      </c>
      <c r="AB6" s="44">
        <f t="shared" si="17"/>
        <v>3.2</v>
      </c>
      <c r="AC6" s="46" t="s">
        <v>102</v>
      </c>
      <c r="AD6" s="39">
        <v>1</v>
      </c>
      <c r="AE6" s="53" t="s">
        <v>40</v>
      </c>
      <c r="AF6" s="48">
        <f t="shared" si="18"/>
        <v>0.39999999999999991</v>
      </c>
      <c r="AG6" s="46" t="s">
        <v>105</v>
      </c>
      <c r="AH6" s="39">
        <v>1</v>
      </c>
      <c r="AI6" s="45"/>
      <c r="AJ6" s="47">
        <f>(((10^(-(1+K6/4)/20))*COS((90-40-E)*PI()/180))^2)/(1+(10^(-(1+K6/4)/20))^2)</f>
        <v>0.17996750009855747</v>
      </c>
      <c r="AK6" s="46"/>
      <c r="AL6" s="39">
        <v>0</v>
      </c>
      <c r="AM6" s="53" t="s">
        <v>41</v>
      </c>
      <c r="AN6" s="47">
        <f t="shared" si="19"/>
        <v>1.3653124999999999</v>
      </c>
      <c r="AO6" s="46" t="s">
        <v>102</v>
      </c>
      <c r="AP6" s="39">
        <v>1</v>
      </c>
      <c r="AQ6" s="58" t="s">
        <v>42</v>
      </c>
      <c r="AR6" s="49">
        <f t="shared" si="20"/>
        <v>0.57740766425244794</v>
      </c>
      <c r="AS6" s="46"/>
      <c r="AT6" s="39">
        <v>1</v>
      </c>
      <c r="AU6" s="56">
        <f t="shared" si="21"/>
        <v>8</v>
      </c>
    </row>
    <row r="7" spans="1:47" ht="13.15">
      <c r="A7" s="51">
        <v>6</v>
      </c>
      <c r="B7" s="52">
        <v>44879.408309085644</v>
      </c>
      <c r="C7" s="53" t="s">
        <v>43</v>
      </c>
      <c r="D7" s="53" t="s">
        <v>44</v>
      </c>
      <c r="E7" s="54">
        <v>342593</v>
      </c>
      <c r="F7" s="37">
        <f t="shared" si="0"/>
        <v>3</v>
      </c>
      <c r="G7" s="37">
        <f t="shared" si="1"/>
        <v>4</v>
      </c>
      <c r="H7" s="37">
        <f t="shared" si="2"/>
        <v>2</v>
      </c>
      <c r="I7" s="37">
        <f t="shared" si="3"/>
        <v>5</v>
      </c>
      <c r="J7" s="37">
        <f t="shared" si="4"/>
        <v>9</v>
      </c>
      <c r="K7" s="37">
        <f t="shared" si="5"/>
        <v>3</v>
      </c>
      <c r="L7" s="53" t="s">
        <v>45</v>
      </c>
      <c r="M7" s="39">
        <f t="shared" si="6"/>
        <v>0</v>
      </c>
      <c r="N7" s="39">
        <f t="shared" si="7"/>
        <v>0</v>
      </c>
      <c r="O7" s="39">
        <f t="shared" si="8"/>
        <v>0</v>
      </c>
      <c r="P7" s="39">
        <f t="shared" si="9"/>
        <v>0</v>
      </c>
      <c r="Q7" s="39">
        <f t="shared" si="10"/>
        <v>-1</v>
      </c>
      <c r="R7" s="39">
        <f t="shared" si="11"/>
        <v>1</v>
      </c>
      <c r="S7" s="53" t="s">
        <v>46</v>
      </c>
      <c r="T7" s="39">
        <f t="shared" si="12"/>
        <v>0</v>
      </c>
      <c r="U7" s="39">
        <f t="shared" si="13"/>
        <v>1</v>
      </c>
      <c r="V7" s="39">
        <f t="shared" si="14"/>
        <v>0</v>
      </c>
      <c r="W7" s="39">
        <f t="shared" si="15"/>
        <v>0</v>
      </c>
      <c r="X7" s="39">
        <f t="shared" si="16"/>
        <v>-1</v>
      </c>
      <c r="Y7" s="53" t="s">
        <v>15</v>
      </c>
      <c r="Z7" s="39">
        <v>1</v>
      </c>
      <c r="AA7" s="53" t="s">
        <v>47</v>
      </c>
      <c r="AB7" s="44">
        <f t="shared" si="17"/>
        <v>2.6</v>
      </c>
      <c r="AC7" s="46" t="s">
        <v>102</v>
      </c>
      <c r="AD7" s="39">
        <v>1</v>
      </c>
      <c r="AE7" s="53" t="s">
        <v>48</v>
      </c>
      <c r="AF7" s="48">
        <f t="shared" si="18"/>
        <v>0.70000000000000018</v>
      </c>
      <c r="AG7" s="46" t="s">
        <v>105</v>
      </c>
      <c r="AH7" s="39">
        <v>1</v>
      </c>
      <c r="AI7" s="45"/>
      <c r="AJ7" s="47">
        <f>(((10^(-(1+K7/4)/20))*COS((90-40-E)*PI()/180))^2)/(1+(10^(-(1+K7/4)/20))^2)</f>
        <v>0.20030160164537161</v>
      </c>
      <c r="AK7" s="46"/>
      <c r="AL7" s="39">
        <v>0</v>
      </c>
      <c r="AM7" s="45"/>
      <c r="AN7" s="47">
        <f t="shared" si="19"/>
        <v>0.17064583333333333</v>
      </c>
      <c r="AO7" s="46" t="s">
        <v>102</v>
      </c>
      <c r="AP7" s="39">
        <v>0</v>
      </c>
      <c r="AQ7" s="58" t="s">
        <v>49</v>
      </c>
      <c r="AR7" s="49">
        <f t="shared" si="20"/>
        <v>0.70205085216595409</v>
      </c>
      <c r="AS7" s="46"/>
      <c r="AT7" s="39">
        <v>1</v>
      </c>
      <c r="AU7" s="56">
        <f t="shared" si="21"/>
        <v>4</v>
      </c>
    </row>
    <row r="8" spans="1:47" ht="13.15">
      <c r="A8" s="51">
        <v>7</v>
      </c>
      <c r="B8" s="52">
        <v>44879.408384884257</v>
      </c>
      <c r="C8" s="53" t="s">
        <v>50</v>
      </c>
      <c r="D8" s="53" t="s">
        <v>51</v>
      </c>
      <c r="E8" s="54">
        <v>353151</v>
      </c>
      <c r="F8" s="37">
        <f t="shared" si="0"/>
        <v>3</v>
      </c>
      <c r="G8" s="37">
        <f t="shared" si="1"/>
        <v>5</v>
      </c>
      <c r="H8" s="37">
        <f t="shared" si="2"/>
        <v>3</v>
      </c>
      <c r="I8" s="37">
        <f t="shared" si="3"/>
        <v>1</v>
      </c>
      <c r="J8" s="37">
        <f t="shared" si="4"/>
        <v>5</v>
      </c>
      <c r="K8" s="37">
        <f t="shared" si="5"/>
        <v>1</v>
      </c>
      <c r="L8" s="53" t="s">
        <v>26</v>
      </c>
      <c r="M8" s="39">
        <f t="shared" si="6"/>
        <v>0</v>
      </c>
      <c r="N8" s="39">
        <f t="shared" si="7"/>
        <v>0</v>
      </c>
      <c r="O8" s="39">
        <f t="shared" si="8"/>
        <v>1</v>
      </c>
      <c r="P8" s="39">
        <f t="shared" si="9"/>
        <v>0</v>
      </c>
      <c r="Q8" s="39">
        <f t="shared" si="10"/>
        <v>0</v>
      </c>
      <c r="R8" s="39">
        <f t="shared" si="11"/>
        <v>0</v>
      </c>
      <c r="S8" s="53" t="s">
        <v>20</v>
      </c>
      <c r="T8" s="39">
        <f t="shared" si="12"/>
        <v>0</v>
      </c>
      <c r="U8" s="39">
        <f t="shared" si="13"/>
        <v>1</v>
      </c>
      <c r="V8" s="39">
        <f t="shared" si="14"/>
        <v>1</v>
      </c>
      <c r="W8" s="39">
        <f t="shared" si="15"/>
        <v>0</v>
      </c>
      <c r="X8" s="39">
        <f t="shared" si="16"/>
        <v>0</v>
      </c>
      <c r="Y8" s="53" t="s">
        <v>15</v>
      </c>
      <c r="Z8" s="39">
        <v>1</v>
      </c>
      <c r="AA8" s="53" t="s">
        <v>52</v>
      </c>
      <c r="AB8" s="44">
        <f t="shared" si="17"/>
        <v>2.2000000000000002</v>
      </c>
      <c r="AC8" s="46" t="s">
        <v>102</v>
      </c>
      <c r="AD8" s="39">
        <v>-1</v>
      </c>
      <c r="AE8" s="53" t="s">
        <v>53</v>
      </c>
      <c r="AF8" s="48">
        <f t="shared" si="18"/>
        <v>0.89999999999999991</v>
      </c>
      <c r="AG8" s="46" t="s">
        <v>105</v>
      </c>
      <c r="AH8" s="39">
        <v>-1</v>
      </c>
      <c r="AI8" s="45"/>
      <c r="AJ8" s="47">
        <f>(((10^(-(1+K8/4)/20))*COS((90-40-E)*PI()/180))^2)/(1+(10^(-(1+K8/4)/20))^2)</f>
        <v>0.21426844129580938</v>
      </c>
      <c r="AK8" s="46"/>
      <c r="AL8" s="39">
        <v>0</v>
      </c>
      <c r="AM8" s="53" t="s">
        <v>54</v>
      </c>
      <c r="AN8" s="47">
        <f t="shared" si="19"/>
        <v>4.2645833333333334E-2</v>
      </c>
      <c r="AO8" s="46" t="s">
        <v>102</v>
      </c>
      <c r="AP8" s="39">
        <v>-1</v>
      </c>
      <c r="AQ8" s="55"/>
      <c r="AR8" s="49">
        <f t="shared" si="20"/>
        <v>0.64545454545454539</v>
      </c>
      <c r="AS8" s="46"/>
      <c r="AT8" s="39">
        <v>0</v>
      </c>
      <c r="AU8" s="56">
        <f t="shared" si="21"/>
        <v>1</v>
      </c>
    </row>
    <row r="9" spans="1:47" ht="13.15">
      <c r="A9" s="51">
        <v>8</v>
      </c>
      <c r="B9" s="52">
        <v>44879.409171134263</v>
      </c>
      <c r="C9" s="53" t="s">
        <v>55</v>
      </c>
      <c r="D9" s="53" t="s">
        <v>56</v>
      </c>
      <c r="E9" s="54">
        <v>354607</v>
      </c>
      <c r="F9" s="37">
        <f t="shared" si="0"/>
        <v>3</v>
      </c>
      <c r="G9" s="37">
        <f t="shared" si="1"/>
        <v>5</v>
      </c>
      <c r="H9" s="37">
        <f t="shared" si="2"/>
        <v>4</v>
      </c>
      <c r="I9" s="37">
        <f t="shared" si="3"/>
        <v>6</v>
      </c>
      <c r="J9" s="37">
        <f t="shared" si="4"/>
        <v>0</v>
      </c>
      <c r="K9" s="37">
        <f t="shared" si="5"/>
        <v>7</v>
      </c>
      <c r="L9" s="53" t="s">
        <v>26</v>
      </c>
      <c r="M9" s="39">
        <f t="shared" si="6"/>
        <v>0</v>
      </c>
      <c r="N9" s="39">
        <f t="shared" si="7"/>
        <v>0</v>
      </c>
      <c r="O9" s="39">
        <f t="shared" si="8"/>
        <v>1</v>
      </c>
      <c r="P9" s="39">
        <f t="shared" si="9"/>
        <v>0</v>
      </c>
      <c r="Q9" s="39">
        <f t="shared" si="10"/>
        <v>0</v>
      </c>
      <c r="R9" s="39">
        <f t="shared" si="11"/>
        <v>0</v>
      </c>
      <c r="S9" s="53" t="s">
        <v>20</v>
      </c>
      <c r="T9" s="39">
        <f t="shared" si="12"/>
        <v>0</v>
      </c>
      <c r="U9" s="39">
        <f t="shared" si="13"/>
        <v>1</v>
      </c>
      <c r="V9" s="39">
        <f t="shared" si="14"/>
        <v>1</v>
      </c>
      <c r="W9" s="39">
        <f t="shared" si="15"/>
        <v>0</v>
      </c>
      <c r="X9" s="39">
        <f t="shared" si="16"/>
        <v>0</v>
      </c>
      <c r="Y9" s="53" t="s">
        <v>15</v>
      </c>
      <c r="Z9" s="39">
        <v>1</v>
      </c>
      <c r="AA9" s="53" t="s">
        <v>57</v>
      </c>
      <c r="AB9" s="44">
        <f t="shared" si="17"/>
        <v>3.4</v>
      </c>
      <c r="AC9" s="46" t="s">
        <v>102</v>
      </c>
      <c r="AD9" s="39">
        <v>1</v>
      </c>
      <c r="AE9" s="53" t="s">
        <v>58</v>
      </c>
      <c r="AF9" s="48">
        <f t="shared" si="18"/>
        <v>0.29999999999999982</v>
      </c>
      <c r="AG9" s="46" t="s">
        <v>105</v>
      </c>
      <c r="AH9" s="39">
        <v>1</v>
      </c>
      <c r="AI9" s="53" t="s">
        <v>59</v>
      </c>
      <c r="AJ9" s="47">
        <f>(((10^(-(1+K9/4)/20))*COS((90-40-E)*PI()/180))^2)/(1+(10^(-(1+K9/4)/20))^2)</f>
        <v>0.17339141639056518</v>
      </c>
      <c r="AK9" s="46"/>
      <c r="AL9" s="39">
        <v>-1</v>
      </c>
      <c r="AM9" s="53" t="s">
        <v>60</v>
      </c>
      <c r="AN9" s="47">
        <f t="shared" si="19"/>
        <v>2.7306458333333334</v>
      </c>
      <c r="AO9" s="46" t="s">
        <v>102</v>
      </c>
      <c r="AP9" s="39">
        <v>-1</v>
      </c>
      <c r="AQ9" s="55"/>
      <c r="AR9" s="49">
        <f t="shared" si="20"/>
        <v>0.58500513351892758</v>
      </c>
      <c r="AS9" s="46"/>
      <c r="AT9" s="39">
        <v>0</v>
      </c>
      <c r="AU9" s="56">
        <f t="shared" si="21"/>
        <v>4</v>
      </c>
    </row>
    <row r="10" spans="1:47" ht="13.5" thickBot="1">
      <c r="A10" s="59">
        <v>9</v>
      </c>
      <c r="B10" s="60">
        <v>44879.4098734375</v>
      </c>
      <c r="C10" s="61" t="s">
        <v>61</v>
      </c>
      <c r="D10" s="61" t="s">
        <v>62</v>
      </c>
      <c r="E10" s="62" t="s">
        <v>63</v>
      </c>
      <c r="F10" s="63">
        <f t="shared" ref="F10" si="22">INT(E10/100000)</f>
        <v>0</v>
      </c>
      <c r="G10" s="63">
        <f t="shared" ref="G10" si="23">INT(($E10-100000*F10)/10000)</f>
        <v>8</v>
      </c>
      <c r="H10" s="63">
        <f t="shared" ref="H10" si="24">INT(($E10-100000*F10-10000*G10)/1000)</f>
        <v>0</v>
      </c>
      <c r="I10" s="63">
        <f t="shared" si="3"/>
        <v>5</v>
      </c>
      <c r="J10" s="63">
        <f t="shared" si="4"/>
        <v>0</v>
      </c>
      <c r="K10" s="63">
        <f t="shared" si="5"/>
        <v>0</v>
      </c>
      <c r="L10" s="61" t="s">
        <v>26</v>
      </c>
      <c r="M10" s="64">
        <f t="shared" si="6"/>
        <v>0</v>
      </c>
      <c r="N10" s="64">
        <f t="shared" si="7"/>
        <v>0</v>
      </c>
      <c r="O10" s="64">
        <f t="shared" si="8"/>
        <v>1</v>
      </c>
      <c r="P10" s="64">
        <f t="shared" si="9"/>
        <v>0</v>
      </c>
      <c r="Q10" s="64">
        <f t="shared" si="10"/>
        <v>0</v>
      </c>
      <c r="R10" s="64">
        <f t="shared" si="11"/>
        <v>0</v>
      </c>
      <c r="S10" s="61" t="s">
        <v>20</v>
      </c>
      <c r="T10" s="64">
        <f t="shared" si="12"/>
        <v>0</v>
      </c>
      <c r="U10" s="64">
        <f t="shared" si="13"/>
        <v>1</v>
      </c>
      <c r="V10" s="64">
        <f t="shared" si="14"/>
        <v>1</v>
      </c>
      <c r="W10" s="64">
        <f t="shared" si="15"/>
        <v>0</v>
      </c>
      <c r="X10" s="64">
        <f t="shared" si="16"/>
        <v>0</v>
      </c>
      <c r="Y10" s="61" t="s">
        <v>15</v>
      </c>
      <c r="Z10" s="64">
        <v>1</v>
      </c>
      <c r="AA10" s="61" t="s">
        <v>64</v>
      </c>
      <c r="AB10" s="65">
        <f t="shared" si="17"/>
        <v>2</v>
      </c>
      <c r="AC10" s="66" t="s">
        <v>102</v>
      </c>
      <c r="AD10" s="64">
        <v>1</v>
      </c>
      <c r="AE10" s="61" t="s">
        <v>65</v>
      </c>
      <c r="AF10" s="67">
        <f t="shared" si="18"/>
        <v>1</v>
      </c>
      <c r="AG10" s="66" t="s">
        <v>105</v>
      </c>
      <c r="AH10" s="64">
        <v>1</v>
      </c>
      <c r="AI10" s="68"/>
      <c r="AJ10" s="69">
        <f>(((10^(-(1+K10/4)/20))*COS((90-40-E)*PI()/180))^2)/(1+(10^(-(1+K10/4)/20))^2)</f>
        <v>0.22134418311885368</v>
      </c>
      <c r="AK10" s="66"/>
      <c r="AL10" s="64">
        <v>0</v>
      </c>
      <c r="AM10" s="61" t="s">
        <v>66</v>
      </c>
      <c r="AN10" s="69">
        <f t="shared" si="19"/>
        <v>2.1312500000000002E-2</v>
      </c>
      <c r="AO10" s="66" t="s">
        <v>102</v>
      </c>
      <c r="AP10" s="64">
        <v>-1</v>
      </c>
      <c r="AQ10" s="70"/>
      <c r="AR10" s="71">
        <f t="shared" si="20"/>
        <v>0.53182284865357043</v>
      </c>
      <c r="AS10" s="66"/>
      <c r="AT10" s="64">
        <v>0</v>
      </c>
      <c r="AU10" s="72">
        <f t="shared" si="21"/>
        <v>5</v>
      </c>
    </row>
    <row r="11" spans="1:47" ht="15.75" customHeight="1" thickTop="1"/>
  </sheetData>
  <conditionalFormatting sqref="M2:R10">
    <cfRule type="aboveAverage" dxfId="23" priority="23" aboveAverage="0"/>
    <cfRule type="aboveAverage" dxfId="22" priority="24"/>
  </conditionalFormatting>
  <conditionalFormatting sqref="M2:R10">
    <cfRule type="cellIs" dxfId="21" priority="22" operator="equal">
      <formula>0</formula>
    </cfRule>
  </conditionalFormatting>
  <conditionalFormatting sqref="T2:X10">
    <cfRule type="aboveAverage" dxfId="20" priority="20" aboveAverage="0"/>
    <cfRule type="aboveAverage" dxfId="19" priority="21"/>
  </conditionalFormatting>
  <conditionalFormatting sqref="T2:X10">
    <cfRule type="cellIs" dxfId="18" priority="19" operator="equal">
      <formula>0</formula>
    </cfRule>
  </conditionalFormatting>
  <conditionalFormatting sqref="Z2:Z10">
    <cfRule type="cellIs" dxfId="17" priority="17" operator="equal">
      <formula>-1</formula>
    </cfRule>
    <cfRule type="cellIs" dxfId="16" priority="18" operator="equal">
      <formula>1</formula>
    </cfRule>
  </conditionalFormatting>
  <conditionalFormatting sqref="Z2:Z10">
    <cfRule type="cellIs" dxfId="15" priority="16" operator="equal">
      <formula>0</formula>
    </cfRule>
  </conditionalFormatting>
  <conditionalFormatting sqref="AD2:AD10">
    <cfRule type="cellIs" dxfId="14" priority="14" operator="equal">
      <formula>-1</formula>
    </cfRule>
    <cfRule type="cellIs" dxfId="13" priority="15" operator="equal">
      <formula>1</formula>
    </cfRule>
  </conditionalFormatting>
  <conditionalFormatting sqref="AD2:AD10">
    <cfRule type="cellIs" dxfId="12" priority="13" operator="equal">
      <formula>0</formula>
    </cfRule>
  </conditionalFormatting>
  <conditionalFormatting sqref="AH2:AH10">
    <cfRule type="cellIs" dxfId="11" priority="11" operator="equal">
      <formula>-1</formula>
    </cfRule>
    <cfRule type="cellIs" dxfId="10" priority="12" operator="equal">
      <formula>1</formula>
    </cfRule>
  </conditionalFormatting>
  <conditionalFormatting sqref="AH2:AH10">
    <cfRule type="cellIs" dxfId="9" priority="10" operator="equal">
      <formula>0</formula>
    </cfRule>
  </conditionalFormatting>
  <conditionalFormatting sqref="AL2:AL10">
    <cfRule type="cellIs" dxfId="8" priority="8" operator="equal">
      <formula>-1</formula>
    </cfRule>
    <cfRule type="cellIs" dxfId="7" priority="9" operator="equal">
      <formula>1</formula>
    </cfRule>
  </conditionalFormatting>
  <conditionalFormatting sqref="AL2:AL10">
    <cfRule type="cellIs" dxfId="6" priority="7" operator="equal">
      <formula>0</formula>
    </cfRule>
  </conditionalFormatting>
  <conditionalFormatting sqref="AP2:AP10">
    <cfRule type="cellIs" dxfId="5" priority="5" operator="equal">
      <formula>-1</formula>
    </cfRule>
    <cfRule type="cellIs" dxfId="4" priority="6" operator="equal">
      <formula>1</formula>
    </cfRule>
  </conditionalFormatting>
  <conditionalFormatting sqref="AP2:AP10">
    <cfRule type="cellIs" dxfId="3" priority="4" operator="equal">
      <formula>0</formula>
    </cfRule>
  </conditionalFormatting>
  <conditionalFormatting sqref="AT2:AT10">
    <cfRule type="cellIs" dxfId="2" priority="2" operator="equal">
      <formula>-1</formula>
    </cfRule>
    <cfRule type="cellIs" dxfId="1" priority="3" operator="equal">
      <formula>1</formula>
    </cfRule>
  </conditionalFormatting>
  <conditionalFormatting sqref="AT2:AT10">
    <cfRule type="cellIs" dxfId="0" priority="1" operator="equal">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Solution</vt:lpstr>
      <vt:lpstr>Test-2022-11-14</vt:lpstr>
      <vt:lpstr>A</vt:lpstr>
      <vt:lpstr>Adir</vt:lpstr>
      <vt:lpstr>Afig8</vt:lpstr>
      <vt:lpstr>Alpha</vt:lpstr>
      <vt:lpstr>Arefl</vt:lpstr>
      <vt:lpstr>B</vt:lpstr>
      <vt:lpstr>CC</vt:lpstr>
      <vt:lpstr>D</vt:lpstr>
      <vt:lpstr>dt</vt:lpstr>
      <vt:lpstr>E</vt:lpstr>
      <vt:lpstr>F</vt:lpstr>
      <vt:lpstr>SNratio</vt:lpstr>
      <vt:lpstr>STI_1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Farina</dc:creator>
  <cp:lastModifiedBy>Angelo Farina</cp:lastModifiedBy>
  <dcterms:created xsi:type="dcterms:W3CDTF">2022-11-15T11:55:54Z</dcterms:created>
  <dcterms:modified xsi:type="dcterms:W3CDTF">2022-11-15T18:26:28Z</dcterms:modified>
</cp:coreProperties>
</file>