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Farina\Corsi\Applied-Acoustics\Tests-2021\"/>
    </mc:Choice>
  </mc:AlternateContent>
  <xr:revisionPtr revIDLastSave="0" documentId="13_ncr:1_{2C632F8E-C6A3-4875-912D-44C1E17039F7}" xr6:coauthVersionLast="47" xr6:coauthVersionMax="47" xr10:uidLastSave="{00000000-0000-0000-0000-000000000000}"/>
  <bookViews>
    <workbookView xWindow="-6690" yWindow="-17325" windowWidth="37380" windowHeight="9945" activeTab="1" xr2:uid="{C2E5D59A-B8CA-4E11-B2C9-EB090CCDAB80}"/>
  </bookViews>
  <sheets>
    <sheet name="Solution" sheetId="1" r:id="rId1"/>
    <sheet name="Responses" sheetId="2" r:id="rId2"/>
  </sheets>
  <externalReferences>
    <externalReference r:id="rId3"/>
  </externalReferences>
  <definedNames>
    <definedName name="A">Solution!$A$4</definedName>
    <definedName name="B">Solution!$B$4</definedName>
    <definedName name="CC">Solution!$C$4</definedName>
    <definedName name="D">Solution!$D$4</definedName>
    <definedName name="E">Solution!$E$4</definedName>
    <definedName name="f">Solution!$B$56</definedName>
    <definedName name="FF">Solution!$F$4</definedName>
    <definedName name="Q">[1]Solution!$L$32</definedName>
    <definedName name="Sigma">Solution!$H$55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6" i="1" l="1"/>
  <c r="K42" i="1"/>
  <c r="AR9" i="2"/>
  <c r="AR8" i="2"/>
  <c r="AR7" i="2"/>
  <c r="AR6" i="2"/>
  <c r="AR5" i="2"/>
  <c r="AR4" i="2"/>
  <c r="AR3" i="2"/>
  <c r="AR2" i="2"/>
  <c r="T3" i="2"/>
  <c r="U3" i="2"/>
  <c r="V3" i="2"/>
  <c r="W3" i="2"/>
  <c r="X3" i="2"/>
  <c r="Y3" i="2"/>
  <c r="T4" i="2"/>
  <c r="U4" i="2"/>
  <c r="V4" i="2"/>
  <c r="W4" i="2"/>
  <c r="X4" i="2"/>
  <c r="Y4" i="2"/>
  <c r="T5" i="2"/>
  <c r="U5" i="2"/>
  <c r="V5" i="2"/>
  <c r="W5" i="2"/>
  <c r="X5" i="2"/>
  <c r="Y5" i="2"/>
  <c r="T6" i="2"/>
  <c r="U6" i="2"/>
  <c r="V6" i="2"/>
  <c r="W6" i="2"/>
  <c r="X6" i="2"/>
  <c r="Y6" i="2"/>
  <c r="T7" i="2"/>
  <c r="U7" i="2"/>
  <c r="V7" i="2"/>
  <c r="W7" i="2"/>
  <c r="X7" i="2"/>
  <c r="Y7" i="2"/>
  <c r="T8" i="2"/>
  <c r="U8" i="2"/>
  <c r="V8" i="2"/>
  <c r="W8" i="2"/>
  <c r="X8" i="2"/>
  <c r="Y8" i="2"/>
  <c r="T9" i="2"/>
  <c r="U9" i="2"/>
  <c r="V9" i="2"/>
  <c r="W9" i="2"/>
  <c r="X9" i="2"/>
  <c r="Y9" i="2"/>
  <c r="Y2" i="2"/>
  <c r="X2" i="2"/>
  <c r="W2" i="2"/>
  <c r="V2" i="2"/>
  <c r="U2" i="2"/>
  <c r="M9" i="2"/>
  <c r="AT9" i="2" s="1"/>
  <c r="M8" i="2"/>
  <c r="AT8" i="2" s="1"/>
  <c r="M7" i="2"/>
  <c r="AT7" i="2" s="1"/>
  <c r="M6" i="2"/>
  <c r="AT6" i="2" s="1"/>
  <c r="M5" i="2"/>
  <c r="AT5" i="2" s="1"/>
  <c r="M4" i="2"/>
  <c r="AT4" i="2" s="1"/>
  <c r="M3" i="2"/>
  <c r="AT3" i="2" s="1"/>
  <c r="M2" i="2"/>
  <c r="AT2" i="2" s="1"/>
  <c r="T2" i="2"/>
  <c r="N3" i="2"/>
  <c r="O3" i="2"/>
  <c r="P3" i="2"/>
  <c r="Q3" i="2"/>
  <c r="R3" i="2"/>
  <c r="N4" i="2"/>
  <c r="O4" i="2"/>
  <c r="P4" i="2"/>
  <c r="Q4" i="2"/>
  <c r="R4" i="2"/>
  <c r="N5" i="2"/>
  <c r="O5" i="2"/>
  <c r="P5" i="2"/>
  <c r="Q5" i="2"/>
  <c r="R5" i="2"/>
  <c r="N6" i="2"/>
  <c r="O6" i="2"/>
  <c r="P6" i="2"/>
  <c r="Q6" i="2"/>
  <c r="R6" i="2"/>
  <c r="N7" i="2"/>
  <c r="O7" i="2"/>
  <c r="P7" i="2"/>
  <c r="Q7" i="2"/>
  <c r="R7" i="2"/>
  <c r="N8" i="2"/>
  <c r="O8" i="2"/>
  <c r="P8" i="2"/>
  <c r="Q8" i="2"/>
  <c r="R8" i="2"/>
  <c r="N9" i="2"/>
  <c r="O9" i="2"/>
  <c r="P9" i="2"/>
  <c r="Q9" i="2"/>
  <c r="R9" i="2"/>
  <c r="R2" i="2"/>
  <c r="Q2" i="2"/>
  <c r="P2" i="2"/>
  <c r="O2" i="2"/>
  <c r="N2" i="2"/>
  <c r="F9" i="2"/>
  <c r="F8" i="2"/>
  <c r="F7" i="2"/>
  <c r="G7" i="2" s="1"/>
  <c r="F6" i="2"/>
  <c r="F5" i="2"/>
  <c r="F4" i="2"/>
  <c r="F3" i="2"/>
  <c r="F2" i="2"/>
  <c r="G5" i="2" l="1"/>
  <c r="H5" i="2" s="1"/>
  <c r="G8" i="2"/>
  <c r="H8" i="2" s="1"/>
  <c r="H7" i="2"/>
  <c r="I7" i="2" s="1"/>
  <c r="J7" i="2" s="1"/>
  <c r="G2" i="2"/>
  <c r="H2" i="2" s="1"/>
  <c r="G6" i="2"/>
  <c r="H6" i="2" s="1"/>
  <c r="I6" i="2" s="1"/>
  <c r="G9" i="2"/>
  <c r="H9" i="2" s="1"/>
  <c r="G3" i="2"/>
  <c r="H3" i="2" s="1"/>
  <c r="G4" i="2"/>
  <c r="K7" i="2" l="1"/>
  <c r="AN7" i="2" s="1"/>
  <c r="AK7" i="2"/>
  <c r="AG7" i="2"/>
  <c r="I8" i="2"/>
  <c r="J8" i="2" s="1"/>
  <c r="J6" i="2"/>
  <c r="I5" i="2"/>
  <c r="J5" i="2" s="1"/>
  <c r="H4" i="2"/>
  <c r="I4" i="2" s="1"/>
  <c r="J4" i="2" s="1"/>
  <c r="I3" i="2"/>
  <c r="I2" i="2"/>
  <c r="K8" i="2"/>
  <c r="K6" i="2"/>
  <c r="I9" i="2"/>
  <c r="K5" i="2" l="1"/>
  <c r="K4" i="2"/>
  <c r="AN4" i="2"/>
  <c r="AN5" i="2"/>
  <c r="AN6" i="2"/>
  <c r="AN8" i="2"/>
  <c r="AK8" i="2"/>
  <c r="AG8" i="2"/>
  <c r="AK4" i="2"/>
  <c r="AG4" i="2"/>
  <c r="AG6" i="2"/>
  <c r="AK6" i="2"/>
  <c r="AG5" i="2"/>
  <c r="AK5" i="2"/>
  <c r="J3" i="2"/>
  <c r="J9" i="2"/>
  <c r="J2" i="2"/>
  <c r="K9" i="2" l="1"/>
  <c r="AN9" i="2"/>
  <c r="K3" i="2"/>
  <c r="AN3" i="2"/>
  <c r="K2" i="2"/>
  <c r="AN2" i="2"/>
  <c r="AK2" i="2"/>
  <c r="AG2" i="2"/>
  <c r="AK3" i="2"/>
  <c r="AG3" i="2"/>
  <c r="AK9" i="2"/>
  <c r="AG9" i="2"/>
  <c r="B62" i="1" l="1"/>
  <c r="B61" i="1"/>
  <c r="B63" i="1" s="1"/>
  <c r="B56" i="1"/>
  <c r="E55" i="1"/>
  <c r="H55" i="1" s="1"/>
  <c r="H56" i="1" s="1"/>
  <c r="B50" i="1"/>
  <c r="D50" i="1" s="1"/>
  <c r="D51" i="1" s="1"/>
  <c r="B39" i="1"/>
  <c r="H37" i="1"/>
  <c r="N42" i="1" s="1"/>
  <c r="H38" i="1"/>
  <c r="E38" i="1"/>
  <c r="E37" i="1"/>
  <c r="L42" i="1" s="1"/>
  <c r="H39" i="1" l="1"/>
  <c r="M38" i="1"/>
  <c r="E39" i="1"/>
  <c r="K37" i="1"/>
  <c r="E44" i="1"/>
  <c r="E42" i="1"/>
  <c r="H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Angelo Farina</author>
  </authors>
  <commentList>
    <comment ref="AC2" authorId="0" shapeId="0" xr:uid="{31C0A3BC-3FB5-46B5-989C-C760EB73BD13}">
      <text>
        <r>
          <rPr>
            <b/>
            <sz val="9"/>
            <color indexed="81"/>
            <rFont val="Tahoma"/>
            <family val="2"/>
          </rPr>
          <t>Angelo Farina:</t>
        </r>
        <r>
          <rPr>
            <sz val="9"/>
            <color indexed="81"/>
            <rFont val="Tahoma"/>
            <family val="2"/>
          </rPr>
          <t xml:space="preserve">
</t>
        </r>
      </text>
    </comment>
    <comment ref="AG2" authorId="0" shapeId="0" xr:uid="{7149F3C8-EA4F-4367-8789-9002BC4F4B28}">
      <text>
        <r>
          <rPr>
            <b/>
            <sz val="9"/>
            <color indexed="81"/>
            <rFont val="Tahoma"/>
            <family val="2"/>
          </rPr>
          <t>Angelo Farina:</t>
        </r>
        <r>
          <rPr>
            <sz val="9"/>
            <color indexed="81"/>
            <rFont val="Tahoma"/>
            <family val="2"/>
          </rPr>
          <t xml:space="preserve">
</t>
        </r>
      </text>
    </comment>
    <comment ref="AK2" authorId="0" shapeId="0" xr:uid="{3F4AA3B9-50B2-4C48-B75E-4B8BD9A84FC1}">
      <text>
        <r>
          <rPr>
            <b/>
            <sz val="9"/>
            <color indexed="81"/>
            <rFont val="Tahoma"/>
            <family val="2"/>
          </rPr>
          <t>Angelo Farina:</t>
        </r>
        <r>
          <rPr>
            <sz val="9"/>
            <color indexed="81"/>
            <rFont val="Tahoma"/>
            <family val="2"/>
          </rPr>
          <t xml:space="preserve">
</t>
        </r>
      </text>
    </comment>
    <comment ref="AN2" authorId="0" shapeId="0" xr:uid="{DE32313C-996B-4D11-A3D7-F8219DC14131}">
      <text>
        <r>
          <rPr>
            <b/>
            <sz val="9"/>
            <color indexed="81"/>
            <rFont val="Tahoma"/>
            <family val="2"/>
          </rPr>
          <t>Angelo Farina:</t>
        </r>
        <r>
          <rPr>
            <sz val="9"/>
            <color indexed="81"/>
            <rFont val="Tahoma"/>
            <family val="2"/>
          </rPr>
          <t xml:space="preserve">
</t>
        </r>
      </text>
    </comment>
    <comment ref="AR2" authorId="0" shapeId="0" xr:uid="{AAD33F26-E3C8-44FC-A443-21EBAB2E6DD8}">
      <text>
        <r>
          <rPr>
            <b/>
            <sz val="9"/>
            <color indexed="81"/>
            <rFont val="Tahoma"/>
            <family val="2"/>
          </rPr>
          <t>Angelo Farina:</t>
        </r>
        <r>
          <rPr>
            <sz val="9"/>
            <color indexed="81"/>
            <rFont val="Tahoma"/>
            <family val="2"/>
          </rPr>
          <t xml:space="preserve">
</t>
        </r>
      </text>
    </comment>
    <comment ref="AR3" authorId="0" shapeId="0" xr:uid="{B48D84AA-C789-4FEA-A7B5-070DA2BD857B}">
      <text>
        <r>
          <rPr>
            <b/>
            <sz val="9"/>
            <color indexed="81"/>
            <rFont val="Tahoma"/>
            <family val="2"/>
          </rPr>
          <t>Angelo Farina:</t>
        </r>
        <r>
          <rPr>
            <sz val="9"/>
            <color indexed="81"/>
            <rFont val="Tahoma"/>
            <family val="2"/>
          </rPr>
          <t xml:space="preserve">
</t>
        </r>
      </text>
    </comment>
    <comment ref="AR4" authorId="0" shapeId="0" xr:uid="{6E077892-D2C4-43B3-9028-CFA72905C282}">
      <text>
        <r>
          <rPr>
            <b/>
            <sz val="9"/>
            <color indexed="81"/>
            <rFont val="Tahoma"/>
            <family val="2"/>
          </rPr>
          <t>Angelo Farina:</t>
        </r>
        <r>
          <rPr>
            <sz val="9"/>
            <color indexed="81"/>
            <rFont val="Tahoma"/>
            <family val="2"/>
          </rPr>
          <t xml:space="preserve">
</t>
        </r>
      </text>
    </comment>
    <comment ref="AR5" authorId="0" shapeId="0" xr:uid="{B76A8715-2ADB-4323-85F3-FDD257AEDA21}">
      <text>
        <r>
          <rPr>
            <b/>
            <sz val="9"/>
            <color indexed="81"/>
            <rFont val="Tahoma"/>
            <family val="2"/>
          </rPr>
          <t>Angelo Farina:</t>
        </r>
        <r>
          <rPr>
            <sz val="9"/>
            <color indexed="81"/>
            <rFont val="Tahoma"/>
            <family val="2"/>
          </rPr>
          <t xml:space="preserve">
</t>
        </r>
      </text>
    </comment>
    <comment ref="AR6" authorId="0" shapeId="0" xr:uid="{05C89B2E-27CF-42B4-B68F-48D6AA9CFA8B}">
      <text>
        <r>
          <rPr>
            <b/>
            <sz val="9"/>
            <color indexed="81"/>
            <rFont val="Tahoma"/>
            <family val="2"/>
          </rPr>
          <t>Angelo Farina:</t>
        </r>
        <r>
          <rPr>
            <sz val="9"/>
            <color indexed="81"/>
            <rFont val="Tahoma"/>
            <family val="2"/>
          </rPr>
          <t xml:space="preserve">
</t>
        </r>
      </text>
    </comment>
    <comment ref="AR7" authorId="0" shapeId="0" xr:uid="{1C90CBD5-C468-4710-BCE3-4CE8DBDA440C}">
      <text>
        <r>
          <rPr>
            <b/>
            <sz val="9"/>
            <color indexed="81"/>
            <rFont val="Tahoma"/>
            <family val="2"/>
          </rPr>
          <t>Angelo Farina:</t>
        </r>
        <r>
          <rPr>
            <sz val="9"/>
            <color indexed="81"/>
            <rFont val="Tahoma"/>
            <family val="2"/>
          </rPr>
          <t xml:space="preserve">
</t>
        </r>
      </text>
    </comment>
    <comment ref="AR8" authorId="0" shapeId="0" xr:uid="{9C9D167D-5ED6-48B6-8C20-515CE11E0864}">
      <text>
        <r>
          <rPr>
            <b/>
            <sz val="9"/>
            <color indexed="81"/>
            <rFont val="Tahoma"/>
            <family val="2"/>
          </rPr>
          <t>Angelo Farina:</t>
        </r>
        <r>
          <rPr>
            <sz val="9"/>
            <color indexed="81"/>
            <rFont val="Tahoma"/>
            <family val="2"/>
          </rPr>
          <t xml:space="preserve">
</t>
        </r>
      </text>
    </comment>
    <comment ref="AR9" authorId="0" shapeId="0" xr:uid="{E112D82A-BD0A-400D-A0F3-B29EEB80000B}">
      <text>
        <r>
          <rPr>
            <b/>
            <sz val="9"/>
            <color indexed="81"/>
            <rFont val="Tahoma"/>
            <family val="2"/>
          </rPr>
          <t>Angelo Farina:</t>
        </r>
        <r>
          <rPr>
            <sz val="9"/>
            <color indexed="81"/>
            <rFont val="Tahoma"/>
            <family val="2"/>
          </rPr>
          <t xml:space="preserve">
</t>
        </r>
      </text>
    </comment>
  </commentList>
</comments>
</file>

<file path=xl/sharedStrings.xml><?xml version="1.0" encoding="utf-8"?>
<sst xmlns="http://schemas.openxmlformats.org/spreadsheetml/2006/main" count="210" uniqueCount="123">
  <si>
    <t>Appled Acoustics - In-class test of 16/11/2021</t>
  </si>
  <si>
    <t>Check the sentences you think are always TRUE</t>
  </si>
  <si>
    <t>(multiple answers allowed)</t>
  </si>
  <si>
    <r>
      <t>¨</t>
    </r>
    <r>
      <rPr>
        <sz val="7"/>
        <color rgb="FF202124"/>
        <rFont val="Times New Roman"/>
        <family val="1"/>
      </rPr>
      <t xml:space="preserve">  </t>
    </r>
    <r>
      <rPr>
        <sz val="11"/>
        <color rgb="FF202124"/>
        <rFont val="Calibri"/>
        <family val="2"/>
        <scheme val="minor"/>
      </rPr>
      <t>An omni impulse response characterises the temporal effects related to sound propagation in a room: travel time, echoes, reverb, etc,</t>
    </r>
  </si>
  <si>
    <r>
      <t>¨</t>
    </r>
    <r>
      <rPr>
        <sz val="7"/>
        <color rgb="FF202124"/>
        <rFont val="Times New Roman"/>
        <family val="1"/>
      </rPr>
      <t xml:space="preserve">  </t>
    </r>
    <r>
      <rPr>
        <sz val="11"/>
        <color rgb="FF202124"/>
        <rFont val="Calibri"/>
        <family val="2"/>
        <scheme val="minor"/>
      </rPr>
      <t>An omni impulse response characterises the spectral effects related to sound propagation in a room: frequency response, resonances and antiresonances, etc.</t>
    </r>
  </si>
  <si>
    <r>
      <t>¨</t>
    </r>
    <r>
      <rPr>
        <sz val="7"/>
        <color rgb="FF202124"/>
        <rFont val="Times New Roman"/>
        <family val="1"/>
      </rPr>
      <t xml:space="preserve">  </t>
    </r>
    <r>
      <rPr>
        <sz val="11"/>
        <color rgb="FF202124"/>
        <rFont val="Calibri"/>
        <family val="2"/>
        <scheme val="minor"/>
      </rPr>
      <t>An omni impulse response characterises the spatial effects related to sound propagation in a room: direction of arrival (source localisation), envelopment, etc.</t>
    </r>
  </si>
  <si>
    <r>
      <t>¨</t>
    </r>
    <r>
      <rPr>
        <sz val="7"/>
        <color rgb="FF202124"/>
        <rFont val="Times New Roman"/>
        <family val="1"/>
      </rPr>
      <t xml:space="preserve">  </t>
    </r>
    <r>
      <rPr>
        <sz val="11"/>
        <color rgb="FF202124"/>
        <rFont val="Calibri"/>
        <family val="2"/>
        <scheme val="minor"/>
      </rPr>
      <t>For evaluating the envelopment it is necessary to measure a binaural impulse response</t>
    </r>
  </si>
  <si>
    <r>
      <t>¨</t>
    </r>
    <r>
      <rPr>
        <sz val="7"/>
        <color rgb="FF202124"/>
        <rFont val="Times New Roman"/>
        <family val="1"/>
      </rPr>
      <t xml:space="preserve">  </t>
    </r>
    <r>
      <rPr>
        <sz val="11"/>
        <color rgb="FF202124"/>
        <rFont val="Calibri"/>
        <family val="2"/>
        <scheme val="minor"/>
      </rPr>
      <t>It is possible to convert an Ambisonics (B-format) impulse response into a binaural one</t>
    </r>
  </si>
  <si>
    <r>
      <t>¨</t>
    </r>
    <r>
      <rPr>
        <sz val="7"/>
        <color rgb="FF202124"/>
        <rFont val="Times New Roman"/>
        <family val="1"/>
      </rPr>
      <t xml:space="preserve">  </t>
    </r>
    <r>
      <rPr>
        <sz val="11"/>
        <color rgb="FF202124"/>
        <rFont val="Calibri"/>
        <family val="2"/>
        <scheme val="minor"/>
      </rPr>
      <t>It is possible to convert a binaural impulse response into an Ambisonics (B-format) one</t>
    </r>
  </si>
  <si>
    <t>The reverberant field of a room is reduced at half of its original energy, by adding sound absorbing materials, whilst the direct sound and early reflections are unchanged. Which of the following effects are true?</t>
  </si>
  <si>
    <r>
      <t>¨</t>
    </r>
    <r>
      <rPr>
        <sz val="7"/>
        <color rgb="FF202124"/>
        <rFont val="Times New Roman"/>
        <family val="1"/>
      </rPr>
      <t xml:space="preserve">  </t>
    </r>
    <r>
      <rPr>
        <sz val="11"/>
        <color rgb="FF202124"/>
        <rFont val="Calibri"/>
        <family val="2"/>
        <scheme val="minor"/>
      </rPr>
      <t>The total SPL reduces by 3 dB</t>
    </r>
  </si>
  <si>
    <r>
      <t>¨</t>
    </r>
    <r>
      <rPr>
        <sz val="7"/>
        <color rgb="FF202124"/>
        <rFont val="Times New Roman"/>
        <family val="1"/>
      </rPr>
      <t xml:space="preserve">  </t>
    </r>
    <r>
      <rPr>
        <sz val="11"/>
        <color rgb="FF202124"/>
        <rFont val="Calibri"/>
        <family val="2"/>
        <scheme val="minor"/>
      </rPr>
      <t>The Clarity Index C50 does not change</t>
    </r>
  </si>
  <si>
    <r>
      <t>¨</t>
    </r>
    <r>
      <rPr>
        <sz val="7"/>
        <color rgb="FF202124"/>
        <rFont val="Times New Roman"/>
        <family val="1"/>
      </rPr>
      <t xml:space="preserve">  </t>
    </r>
    <r>
      <rPr>
        <sz val="11"/>
        <color rgb="FF202124"/>
        <rFont val="Calibri"/>
        <family val="2"/>
        <scheme val="minor"/>
      </rPr>
      <t>The Clarity Index C50 increases by 3 dB</t>
    </r>
  </si>
  <si>
    <r>
      <t>¨</t>
    </r>
    <r>
      <rPr>
        <sz val="7"/>
        <color rgb="FF202124"/>
        <rFont val="Times New Roman"/>
        <family val="1"/>
      </rPr>
      <t xml:space="preserve">  </t>
    </r>
    <r>
      <rPr>
        <sz val="11"/>
        <color rgb="FF202124"/>
        <rFont val="Calibri"/>
        <family val="2"/>
        <scheme val="minor"/>
      </rPr>
      <t>The Clarity Index C50 increases by 6 dB</t>
    </r>
  </si>
  <si>
    <r>
      <t>¨</t>
    </r>
    <r>
      <rPr>
        <sz val="7"/>
        <color rgb="FF202124"/>
        <rFont val="Times New Roman"/>
        <family val="1"/>
      </rPr>
      <t xml:space="preserve">  </t>
    </r>
    <r>
      <rPr>
        <sz val="11"/>
        <color rgb="FF202124"/>
        <rFont val="Calibri"/>
        <family val="2"/>
        <scheme val="minor"/>
      </rPr>
      <t>The reverberation time does not change</t>
    </r>
  </si>
  <si>
    <r>
      <t>¨</t>
    </r>
    <r>
      <rPr>
        <sz val="7"/>
        <color rgb="FF202124"/>
        <rFont val="Times New Roman"/>
        <family val="1"/>
      </rPr>
      <t xml:space="preserve">  </t>
    </r>
    <r>
      <rPr>
        <sz val="11"/>
        <color rgb="FF202124"/>
        <rFont val="Calibri"/>
        <family val="2"/>
        <scheme val="minor"/>
      </rPr>
      <t>The reverberation time becomes half of the original one</t>
    </r>
  </si>
  <si>
    <t>What is the definition of "sound reduction index R"?</t>
  </si>
  <si>
    <t>(a single answer)</t>
  </si>
  <si>
    <r>
      <t>¡</t>
    </r>
    <r>
      <rPr>
        <sz val="7"/>
        <color rgb="FF202124"/>
        <rFont val="Times New Roman"/>
        <family val="1"/>
      </rPr>
      <t xml:space="preserve">  </t>
    </r>
    <r>
      <rPr>
        <sz val="11"/>
        <color rgb="FF202124"/>
        <rFont val="Calibri"/>
        <family val="2"/>
        <scheme val="minor"/>
      </rPr>
      <t>It is the reduction of the sound intensity of a wave travelling through a wall, in dB</t>
    </r>
  </si>
  <si>
    <r>
      <t>¡</t>
    </r>
    <r>
      <rPr>
        <sz val="7"/>
        <color rgb="FF202124"/>
        <rFont val="Times New Roman"/>
        <family val="1"/>
      </rPr>
      <t xml:space="preserve">  </t>
    </r>
    <r>
      <rPr>
        <sz val="11"/>
        <color rgb="FF202124"/>
        <rFont val="Calibri"/>
        <family val="2"/>
        <scheme val="minor"/>
      </rPr>
      <t>It is the difference between the SPL at the receiver before and after installing a noise barrier</t>
    </r>
  </si>
  <si>
    <r>
      <t>¡</t>
    </r>
    <r>
      <rPr>
        <sz val="7"/>
        <color rgb="FF202124"/>
        <rFont val="Times New Roman"/>
        <family val="1"/>
      </rPr>
      <t xml:space="preserve">  </t>
    </r>
    <r>
      <rPr>
        <sz val="11"/>
        <color rgb="FF202124"/>
        <rFont val="Calibri"/>
        <family val="2"/>
        <scheme val="minor"/>
      </rPr>
      <t>It is the difference between the SPL measured on the two sides of a partition (L1-L2)</t>
    </r>
  </si>
  <si>
    <r>
      <t>¡</t>
    </r>
    <r>
      <rPr>
        <sz val="7"/>
        <color rgb="FF202124"/>
        <rFont val="Times New Roman"/>
        <family val="1"/>
      </rPr>
      <t xml:space="preserve">  </t>
    </r>
    <r>
      <rPr>
        <sz val="11"/>
        <color rgb="FF202124"/>
        <rFont val="Calibri"/>
        <family val="2"/>
        <scheme val="minor"/>
      </rPr>
      <t>It is the reduction in sound pressure level caused by a soundproofing treatment of a room, adding absorbing panels</t>
    </r>
  </si>
  <si>
    <r>
      <t>¡</t>
    </r>
    <r>
      <rPr>
        <sz val="7"/>
        <color rgb="FF202124"/>
        <rFont val="Times New Roman"/>
        <family val="1"/>
      </rPr>
      <t xml:space="preserve">  </t>
    </r>
    <r>
      <rPr>
        <sz val="11"/>
        <color rgb="FF202124"/>
        <rFont val="Calibri"/>
        <family val="2"/>
        <scheme val="minor"/>
      </rPr>
      <t>It is the reciprocal of the transmission coefficient t, expressed in dB</t>
    </r>
  </si>
  <si>
    <r>
      <t>¡</t>
    </r>
    <r>
      <rPr>
        <sz val="7"/>
        <color rgb="FF202124"/>
        <rFont val="Times New Roman"/>
        <family val="1"/>
      </rPr>
      <t xml:space="preserve">  </t>
    </r>
    <r>
      <rPr>
        <sz val="11"/>
        <color rgb="FF202124"/>
        <rFont val="Calibri"/>
        <family val="2"/>
        <scheme val="minor"/>
      </rPr>
      <t>It is the apparent sound absorption coefficient α, expressed in dB</t>
    </r>
  </si>
  <si>
    <t>In a large room, the first reflection occurs 50+F ms after the direct sound and is followed by the reverberant tail. Compute the value of clarity C50 at the critical distance.</t>
  </si>
  <si>
    <t>(write number and measurement unit)</t>
  </si>
  <si>
    <t>In a fan-shaped open-air Greek theater the measured impulse response shows just 2 reflections after the direct sound. The first has a delay of 10+F ms and an amplitude of 3+E/10 dB lower than the direct sound, and the second has a delay 40+D*3 ms and an amplitude of 6+C/4 dB below the direct sound. Compute the value of the center time ts.</t>
  </si>
  <si>
    <t xml:space="preserve"> </t>
  </si>
  <si>
    <t>An exponential sine sweep is 4+F s long. After convolving the test signal with its matched inverse sweep, an almost perfect Dirac's Delta function is obtained. If the sampling rate was 48 kHz, at which sample number (counting from 0) do you expect to find the peak of the impulse?</t>
  </si>
  <si>
    <t xml:space="preserve">Estimate the Sound Reduction Index R of a wall weighting 400+EF kg, having a surface of 7+E m² at the frequency of 300+D*10 Hz. </t>
  </si>
  <si>
    <t>A curtain has a=0.3+F/100 and t=0.3+E/100 and is placed in front of an open window.</t>
  </si>
  <si>
    <t>Compute the value of its apparent sound absorption coefficient α.</t>
  </si>
  <si>
    <t>Matricula</t>
  </si>
  <si>
    <t>B</t>
  </si>
  <si>
    <t>A</t>
  </si>
  <si>
    <t>C</t>
  </si>
  <si>
    <t>D</t>
  </si>
  <si>
    <t>E</t>
  </si>
  <si>
    <t>F</t>
  </si>
  <si>
    <t>Timestamp</t>
  </si>
  <si>
    <t>Email address</t>
  </si>
  <si>
    <t>Surname and Name</t>
  </si>
  <si>
    <t>Check the sentences you think are TRUE</t>
  </si>
  <si>
    <t>What is the definition of "sound reduction index R" ?</t>
  </si>
  <si>
    <t>Estimate the Sound Reduction Index R of a wall weighting 400+EF kg, having a surface of 7+E m² at the frequency of 300+D*10 Hz.</t>
  </si>
  <si>
    <t>A curtain has a=0.3+F/100 and t=0.3+E/100 and is placed in front of an open window. Compute the value of its apparent sound absorption coefficient α.</t>
  </si>
  <si>
    <t>davide.ambu@studenti.unipr.it</t>
  </si>
  <si>
    <t>Ambu Davide</t>
  </si>
  <si>
    <t>An omni impulse response characterises the temporal effects related to sound propagation in a room: travel time, echoes, reverb, etc,, An omni impulse response characterises the spatial effects related to sound propagation in a room: direction of arrival (source localisation), envelopment, etc.</t>
  </si>
  <si>
    <t>The total SPL reduces by 3 dB, The Clarity Index C50 increases by 3 dB</t>
  </si>
  <si>
    <t>It is the reciprocal of the transmission coefficient t, expressed in dB</t>
  </si>
  <si>
    <t>1048576 sample</t>
  </si>
  <si>
    <t>22.2 dB</t>
  </si>
  <si>
    <t>leonardo.miccoli@studenti.unipr.it</t>
  </si>
  <si>
    <t>Miccoli Leonardo</t>
  </si>
  <si>
    <t>An omni impulse response characterises the spectral effects related to sound propagation in a room: frequency response, resonances and antiresonances, etc., It is possible to convert a binaural impulse response into an Ambisonics (B-format) one</t>
  </si>
  <si>
    <t>The Clarity Index C50 increases by 3 dB, The reverberation time becomes half of the original one</t>
  </si>
  <si>
    <t>0 dB</t>
  </si>
  <si>
    <t>15.833 ms</t>
  </si>
  <si>
    <t>38.115 dB</t>
  </si>
  <si>
    <t>felice.dagruma@studenti.unipr.it</t>
  </si>
  <si>
    <t>D'Agruma Felice</t>
  </si>
  <si>
    <t>15.62538 ms</t>
  </si>
  <si>
    <t>43.068 dB</t>
  </si>
  <si>
    <t>marcomaffoni@gmail.com</t>
  </si>
  <si>
    <t>Maffoni Marco</t>
  </si>
  <si>
    <t>The Clarity Index C50 increases by 3 dB</t>
  </si>
  <si>
    <t>12,10 ms</t>
  </si>
  <si>
    <t>37,40 dB</t>
  </si>
  <si>
    <t>francesco.feher@studenti.unipr.it</t>
  </si>
  <si>
    <t>Francesco Feher</t>
  </si>
  <si>
    <t>10.975 ms</t>
  </si>
  <si>
    <t>39.07 dB</t>
  </si>
  <si>
    <t>matteo.cobianchi@studenti.unipr.it</t>
  </si>
  <si>
    <t>Cobianchi Matteo</t>
  </si>
  <si>
    <t>14.85 ms</t>
  </si>
  <si>
    <t>39.73 dB</t>
  </si>
  <si>
    <t>nataliateresa.mazzara@studenti.unipr.it</t>
  </si>
  <si>
    <t>Mazzara Natalia</t>
  </si>
  <si>
    <t>15.15 ms</t>
  </si>
  <si>
    <t>38.99 dB</t>
  </si>
  <si>
    <t>giuseppe.teodoro@studenti.unipr.it</t>
  </si>
  <si>
    <t>Teodoro Giuseppe</t>
  </si>
  <si>
    <t>14.43 ms</t>
  </si>
  <si>
    <t>335.999 sample</t>
  </si>
  <si>
    <t>37.28 dB</t>
  </si>
  <si>
    <t>dB</t>
  </si>
  <si>
    <t>C50 =</t>
  </si>
  <si>
    <t>Tau_1 =</t>
  </si>
  <si>
    <t>ms</t>
  </si>
  <si>
    <t>L_1 =</t>
  </si>
  <si>
    <t>Tau_2 =</t>
  </si>
  <si>
    <t>Numer. =</t>
  </si>
  <si>
    <t>Denom =</t>
  </si>
  <si>
    <t>Length =</t>
  </si>
  <si>
    <t>s</t>
  </si>
  <si>
    <t>samples</t>
  </si>
  <si>
    <t>Peak =</t>
  </si>
  <si>
    <t>Mass =</t>
  </si>
  <si>
    <t>kg</t>
  </si>
  <si>
    <t>S =</t>
  </si>
  <si>
    <t>m2</t>
  </si>
  <si>
    <t>Sigma =</t>
  </si>
  <si>
    <t>kg/m2</t>
  </si>
  <si>
    <t>f =</t>
  </si>
  <si>
    <t>Hz</t>
  </si>
  <si>
    <t>R = 20*log10(sigma*f)-44 =</t>
  </si>
  <si>
    <t>a =</t>
  </si>
  <si>
    <t>t =</t>
  </si>
  <si>
    <t>Alfa = a+t =</t>
  </si>
  <si>
    <t>N.</t>
  </si>
  <si>
    <t>Score</t>
  </si>
  <si>
    <t>OK Value</t>
  </si>
  <si>
    <t>OK unit</t>
  </si>
  <si>
    <t>TOTAL</t>
  </si>
  <si>
    <t>L_2 =</t>
  </si>
  <si>
    <t>Pa^2</t>
  </si>
  <si>
    <t>L_dir =</t>
  </si>
  <si>
    <t>Tau_dir =</t>
  </si>
  <si>
    <t>p_dir^2 =</t>
  </si>
  <si>
    <t>p_1^2 =</t>
  </si>
  <si>
    <t>p_2^2 =</t>
  </si>
  <si>
    <t xml:space="preserve">      ts = Num/Den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</si>
</sst>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rgb="FF202124"/>
      <name val="Wingdings"/>
      <charset val="2"/>
    </font>
    <font>
      <sz val="7"/>
      <color rgb="FF202124"/>
      <name val="Times New Roman"/>
      <family val="1"/>
    </font>
    <font>
      <sz val="11"/>
      <color rgb="FF202124"/>
      <name val="Calibri"/>
      <family val="2"/>
      <scheme val="minor"/>
    </font>
    <font>
      <b/>
      <sz val="11"/>
      <color rgb="FF202124"/>
      <name val="Calibri"/>
      <family val="2"/>
      <scheme val="minor"/>
    </font>
    <font>
      <sz val="10"/>
      <color theme="1"/>
      <name val="Arial"/>
      <family val="2"/>
    </font>
    <font>
      <sz val="10"/>
      <color rgb="FF000000"/>
      <name val="Arial"/>
    </font>
    <font>
      <sz val="10"/>
      <name val="Arial"/>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theme="9" tint="0.59999389629810485"/>
        <bgColor indexed="64"/>
      </patternFill>
    </fill>
  </fills>
  <borders count="1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2">
    <xf numFmtId="0" fontId="0" fillId="0" borderId="0"/>
    <xf numFmtId="0" fontId="7" fillId="0" borderId="0"/>
  </cellStyleXfs>
  <cellXfs count="55">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left" vertical="center" indent="5"/>
    </xf>
    <xf numFmtId="0" fontId="5" fillId="0" borderId="0" xfId="0" applyFont="1" applyAlignment="1">
      <alignment vertical="center"/>
    </xf>
    <xf numFmtId="0" fontId="0" fillId="0" borderId="0" xfId="0" applyAlignment="1">
      <alignment horizontal="right" vertic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0" xfId="0" applyFont="1"/>
    <xf numFmtId="0" fontId="2" fillId="2" borderId="0" xfId="0" applyFont="1" applyFill="1" applyAlignment="1">
      <alignment horizontal="left" vertical="center" indent="5"/>
    </xf>
    <xf numFmtId="0" fontId="0" fillId="2" borderId="0" xfId="0" applyFill="1"/>
    <xf numFmtId="0" fontId="1" fillId="0" borderId="8" xfId="0" applyFont="1" applyBorder="1" applyAlignment="1">
      <alignment vertical="center"/>
    </xf>
    <xf numFmtId="0" fontId="0" fillId="0" borderId="9" xfId="0" applyBorder="1"/>
    <xf numFmtId="0" fontId="0" fillId="0" borderId="8" xfId="0" applyBorder="1"/>
    <xf numFmtId="0" fontId="0" fillId="0" borderId="0" xfId="0" applyBorder="1"/>
    <xf numFmtId="0" fontId="0" fillId="0" borderId="1" xfId="0" applyBorder="1"/>
    <xf numFmtId="0" fontId="0" fillId="3" borderId="2" xfId="0" applyFill="1" applyBorder="1" applyAlignment="1">
      <alignment horizontal="center"/>
    </xf>
    <xf numFmtId="0" fontId="7" fillId="0" borderId="10" xfId="1" applyBorder="1" applyAlignment="1">
      <alignment horizontal="center"/>
    </xf>
    <xf numFmtId="0" fontId="7" fillId="0" borderId="5" xfId="1" applyBorder="1" applyAlignment="1">
      <alignment horizontal="center"/>
    </xf>
    <xf numFmtId="0" fontId="0" fillId="3" borderId="3" xfId="0" applyFill="1" applyBorder="1" applyAlignment="1">
      <alignment horizontal="center"/>
    </xf>
    <xf numFmtId="0" fontId="8" fillId="0" borderId="11" xfId="0" applyFont="1" applyBorder="1" applyAlignment="1">
      <alignment horizontal="center"/>
    </xf>
    <xf numFmtId="0" fontId="8" fillId="0" borderId="6" xfId="0" applyFont="1" applyBorder="1" applyAlignment="1">
      <alignment horizontal="center"/>
    </xf>
    <xf numFmtId="0" fontId="0" fillId="0" borderId="11" xfId="0" applyBorder="1" applyAlignment="1">
      <alignment horizontal="center"/>
    </xf>
    <xf numFmtId="0" fontId="0" fillId="4" borderId="11" xfId="0" applyFill="1" applyBorder="1" applyAlignment="1">
      <alignment horizontal="center"/>
    </xf>
    <xf numFmtId="0" fontId="0" fillId="3" borderId="3" xfId="0" applyFill="1" applyBorder="1" applyAlignment="1">
      <alignment horizontal="left"/>
    </xf>
    <xf numFmtId="2" fontId="0" fillId="0" borderId="11" xfId="0" applyNumberFormat="1" applyBorder="1"/>
    <xf numFmtId="0" fontId="0" fillId="0" borderId="11" xfId="0" applyBorder="1"/>
    <xf numFmtId="1" fontId="0" fillId="0" borderId="11" xfId="0" applyNumberFormat="1" applyBorder="1"/>
    <xf numFmtId="0" fontId="1" fillId="3" borderId="4" xfId="0" applyFont="1" applyFill="1" applyBorder="1" applyAlignment="1">
      <alignment horizontal="center"/>
    </xf>
    <xf numFmtId="0" fontId="1" fillId="2" borderId="12" xfId="0" applyFont="1" applyFill="1" applyBorder="1" applyAlignment="1">
      <alignment horizontal="center"/>
    </xf>
    <xf numFmtId="0" fontId="1" fillId="2" borderId="7" xfId="0" applyFont="1" applyFill="1" applyBorder="1" applyAlignment="1">
      <alignment horizontal="center"/>
    </xf>
    <xf numFmtId="22" fontId="6" fillId="0" borderId="11" xfId="0" applyNumberFormat="1" applyFont="1" applyBorder="1" applyAlignment="1">
      <alignment horizontal="center"/>
    </xf>
    <xf numFmtId="0" fontId="6" fillId="0" borderId="11" xfId="0" applyFont="1" applyBorder="1" applyAlignment="1"/>
    <xf numFmtId="0" fontId="6" fillId="0" borderId="11" xfId="0" applyFont="1" applyBorder="1" applyAlignment="1">
      <alignment horizontal="center"/>
    </xf>
    <xf numFmtId="0" fontId="6" fillId="0" borderId="11" xfId="0" applyFont="1" applyBorder="1" applyAlignment="1">
      <alignment vertical="center"/>
    </xf>
    <xf numFmtId="0" fontId="6" fillId="0" borderId="11" xfId="0" applyFont="1" applyBorder="1" applyAlignment="1">
      <alignment horizontal="right"/>
    </xf>
    <xf numFmtId="0" fontId="6" fillId="2" borderId="11" xfId="0" applyFont="1" applyFill="1" applyBorder="1" applyAlignment="1"/>
    <xf numFmtId="22" fontId="6" fillId="0" borderId="6" xfId="0" applyNumberFormat="1" applyFont="1" applyBorder="1" applyAlignment="1">
      <alignment horizontal="center"/>
    </xf>
    <xf numFmtId="0" fontId="6" fillId="0" borderId="6" xfId="0" applyFont="1" applyBorder="1" applyAlignment="1"/>
    <xf numFmtId="0" fontId="6" fillId="0" borderId="6" xfId="0" applyFont="1" applyBorder="1" applyAlignment="1">
      <alignment horizontal="center"/>
    </xf>
    <xf numFmtId="0" fontId="0" fillId="4" borderId="6" xfId="0" applyFill="1" applyBorder="1" applyAlignment="1">
      <alignment horizontal="center"/>
    </xf>
    <xf numFmtId="2" fontId="0" fillId="0" borderId="6" xfId="0" applyNumberFormat="1" applyBorder="1"/>
    <xf numFmtId="0" fontId="0" fillId="0" borderId="6" xfId="0" applyBorder="1"/>
    <xf numFmtId="1" fontId="0" fillId="0" borderId="6" xfId="0" applyNumberFormat="1" applyBorder="1"/>
    <xf numFmtId="0" fontId="6" fillId="0" borderId="6" xfId="0" applyFont="1" applyBorder="1" applyAlignment="1">
      <alignment horizontal="right"/>
    </xf>
    <xf numFmtId="0" fontId="0" fillId="0" borderId="0" xfId="0" applyAlignment="1">
      <alignment horizontal="left"/>
    </xf>
    <xf numFmtId="0" fontId="0" fillId="0" borderId="0" xfId="0" applyAlignment="1">
      <alignment horizontal="right"/>
    </xf>
    <xf numFmtId="0" fontId="1" fillId="0" borderId="0" xfId="0" applyFont="1" applyAlignment="1">
      <alignment vertical="center" wrapText="1"/>
    </xf>
    <xf numFmtId="0" fontId="0" fillId="0" borderId="0" xfId="0" applyAlignment="1">
      <alignment wrapText="1"/>
    </xf>
    <xf numFmtId="0" fontId="5" fillId="0" borderId="0" xfId="0" applyFont="1" applyAlignment="1">
      <alignment vertical="center" wrapText="1"/>
    </xf>
  </cellXfs>
  <cellStyles count="2">
    <cellStyle name="Normal" xfId="0" builtinId="0"/>
    <cellStyle name="Normal 2" xfId="1" xr:uid="{B6E2B285-5F67-4636-BF25-70C1AC2C1446}"/>
  </cellStyles>
  <dxfs count="24">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17585</xdr:colOff>
      <xdr:row>41</xdr:row>
      <xdr:rowOff>0</xdr:rowOff>
    </xdr:from>
    <xdr:to>
      <xdr:col>13</xdr:col>
      <xdr:colOff>492369</xdr:colOff>
      <xdr:row>41</xdr:row>
      <xdr:rowOff>5861</xdr:rowOff>
    </xdr:to>
    <xdr:cxnSp macro="">
      <xdr:nvCxnSpPr>
        <xdr:cNvPr id="8" name="Straight Arrow Connector 7">
          <a:extLst>
            <a:ext uri="{FF2B5EF4-FFF2-40B4-BE49-F238E27FC236}">
              <a16:creationId xmlns:a16="http://schemas.microsoft.com/office/drawing/2014/main" id="{00000000-0008-0000-0000-000008000000}"/>
            </a:ext>
          </a:extLst>
        </xdr:cNvPr>
        <xdr:cNvCxnSpPr/>
      </xdr:nvCxnSpPr>
      <xdr:spPr>
        <a:xfrm>
          <a:off x="4894385" y="8235462"/>
          <a:ext cx="2913184" cy="58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xdr:colOff>
      <xdr:row>34</xdr:row>
      <xdr:rowOff>779586</xdr:rowOff>
    </xdr:from>
    <xdr:to>
      <xdr:col>9</xdr:col>
      <xdr:colOff>21981</xdr:colOff>
      <xdr:row>41</xdr:row>
      <xdr:rowOff>0</xdr:rowOff>
    </xdr:to>
    <xdr:cxnSp macro="">
      <xdr:nvCxnSpPr>
        <xdr:cNvPr id="10" name="Straight Arrow Connector 9">
          <a:extLst>
            <a:ext uri="{FF2B5EF4-FFF2-40B4-BE49-F238E27FC236}">
              <a16:creationId xmlns:a16="http://schemas.microsoft.com/office/drawing/2014/main" id="{00000000-0008-0000-0000-00000A000000}"/>
            </a:ext>
          </a:extLst>
        </xdr:cNvPr>
        <xdr:cNvCxnSpPr/>
      </xdr:nvCxnSpPr>
      <xdr:spPr>
        <a:xfrm flipH="1" flipV="1">
          <a:off x="6059366" y="7732836"/>
          <a:ext cx="21980" cy="11620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24619</xdr:colOff>
      <xdr:row>35</xdr:row>
      <xdr:rowOff>87923</xdr:rowOff>
    </xdr:from>
    <xdr:to>
      <xdr:col>10</xdr:col>
      <xdr:colOff>80596</xdr:colOff>
      <xdr:row>40</xdr:row>
      <xdr:rowOff>183173</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6692119" y="7839808"/>
          <a:ext cx="55977" cy="1047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51288</xdr:colOff>
      <xdr:row>36</xdr:row>
      <xdr:rowOff>102578</xdr:rowOff>
    </xdr:from>
    <xdr:to>
      <xdr:col>11</xdr:col>
      <xdr:colOff>117230</xdr:colOff>
      <xdr:row>41</xdr:row>
      <xdr:rowOff>14654</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7326923" y="8044963"/>
          <a:ext cx="65942" cy="8645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13</xdr:col>
      <xdr:colOff>51289</xdr:colOff>
      <xdr:row>37</xdr:row>
      <xdr:rowOff>102577</xdr:rowOff>
    </xdr:from>
    <xdr:to>
      <xdr:col>13</xdr:col>
      <xdr:colOff>109905</xdr:colOff>
      <xdr:row>40</xdr:row>
      <xdr:rowOff>190499</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8543193" y="8235462"/>
          <a:ext cx="58616" cy="65942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mc:AlternateContent xmlns:mc="http://schemas.openxmlformats.org/markup-compatibility/2006">
    <mc:Choice xmlns:a14="http://schemas.microsoft.com/office/drawing/2010/main" Requires="a14">
      <xdr:twoCellAnchor editAs="oneCell">
        <xdr:from>
          <xdr:col>0</xdr:col>
          <xdr:colOff>552450</xdr:colOff>
          <xdr:row>39</xdr:row>
          <xdr:rowOff>123825</xdr:rowOff>
        </xdr:from>
        <xdr:to>
          <xdr:col>2</xdr:col>
          <xdr:colOff>495300</xdr:colOff>
          <xdr:row>45</xdr:row>
          <xdr:rowOff>95250</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5</xdr:col>
      <xdr:colOff>153866</xdr:colOff>
      <xdr:row>40</xdr:row>
      <xdr:rowOff>153865</xdr:rowOff>
    </xdr:from>
    <xdr:to>
      <xdr:col>5</xdr:col>
      <xdr:colOff>329713</xdr:colOff>
      <xdr:row>44</xdr:row>
      <xdr:rowOff>29308</xdr:rowOff>
    </xdr:to>
    <xdr:sp macro="" textlink="">
      <xdr:nvSpPr>
        <xdr:cNvPr id="3" name="Right Brace 2">
          <a:extLst>
            <a:ext uri="{FF2B5EF4-FFF2-40B4-BE49-F238E27FC236}">
              <a16:creationId xmlns:a16="http://schemas.microsoft.com/office/drawing/2014/main" id="{00000000-0008-0000-0000-000003000000}"/>
            </a:ext>
          </a:extLst>
        </xdr:cNvPr>
        <xdr:cNvSpPr/>
      </xdr:nvSpPr>
      <xdr:spPr>
        <a:xfrm>
          <a:off x="3560885" y="8858250"/>
          <a:ext cx="175847" cy="65209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lution-2021-1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ution"/>
      <sheetName val="Test-2021-10-25"/>
    </sheetNames>
    <sheetDataSet>
      <sheetData sheetId="0">
        <row r="32">
          <cell r="L32">
            <v>2</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C179E-FBDA-4D74-8342-69C85FD03D3C}">
  <dimension ref="A1:O63"/>
  <sheetViews>
    <sheetView zoomScale="130" zoomScaleNormal="130" workbookViewId="0"/>
  </sheetViews>
  <sheetFormatPr defaultRowHeight="15" x14ac:dyDescent="0.25"/>
  <cols>
    <col min="1" max="1" width="9.7109375" customWidth="1"/>
    <col min="2" max="2" width="11" bestFit="1" customWidth="1"/>
    <col min="5" max="5" width="12.140625" bestFit="1" customWidth="1"/>
    <col min="6" max="6" width="12.85546875" bestFit="1" customWidth="1"/>
    <col min="7" max="7" width="8.7109375" customWidth="1"/>
    <col min="10" max="10" width="9.140625" customWidth="1"/>
  </cols>
  <sheetData>
    <row r="1" spans="1:14" x14ac:dyDescent="0.25">
      <c r="A1" s="13" t="s">
        <v>0</v>
      </c>
    </row>
    <row r="2" spans="1:14" ht="15.75" thickBot="1" x14ac:dyDescent="0.3">
      <c r="A2" t="s">
        <v>32</v>
      </c>
    </row>
    <row r="3" spans="1:14" x14ac:dyDescent="0.25">
      <c r="A3" s="7" t="s">
        <v>34</v>
      </c>
      <c r="B3" s="8" t="s">
        <v>33</v>
      </c>
      <c r="C3" s="8" t="s">
        <v>35</v>
      </c>
      <c r="D3" s="8" t="s">
        <v>36</v>
      </c>
      <c r="E3" s="8" t="s">
        <v>37</v>
      </c>
      <c r="F3" s="9" t="s">
        <v>38</v>
      </c>
    </row>
    <row r="4" spans="1:14" ht="15.75" thickBot="1" x14ac:dyDescent="0.3">
      <c r="A4" s="10">
        <v>1</v>
      </c>
      <c r="B4" s="11">
        <v>2</v>
      </c>
      <c r="C4" s="11">
        <v>3</v>
      </c>
      <c r="D4" s="11">
        <v>4</v>
      </c>
      <c r="E4" s="11">
        <v>5</v>
      </c>
      <c r="F4" s="12">
        <v>6</v>
      </c>
    </row>
    <row r="5" spans="1:14" x14ac:dyDescent="0.25">
      <c r="A5" s="6"/>
      <c r="B5" s="6"/>
      <c r="C5" s="6"/>
      <c r="D5" s="6"/>
      <c r="E5" s="6"/>
      <c r="F5" s="6"/>
    </row>
    <row r="6" spans="1:14" x14ac:dyDescent="0.25">
      <c r="A6" s="2" t="s">
        <v>1</v>
      </c>
      <c r="I6" s="1" t="s">
        <v>2</v>
      </c>
    </row>
    <row r="7" spans="1:14" x14ac:dyDescent="0.25">
      <c r="A7" s="14" t="s">
        <v>3</v>
      </c>
      <c r="B7" s="15"/>
      <c r="C7" s="15"/>
      <c r="D7" s="15"/>
      <c r="E7" s="15"/>
      <c r="F7" s="15"/>
      <c r="G7" s="15"/>
      <c r="H7" s="15"/>
      <c r="I7" s="15"/>
      <c r="J7" s="15"/>
      <c r="K7" s="15"/>
      <c r="L7" s="15"/>
      <c r="M7" s="15"/>
      <c r="N7" s="15"/>
    </row>
    <row r="8" spans="1:14" x14ac:dyDescent="0.25">
      <c r="A8" s="14" t="s">
        <v>4</v>
      </c>
      <c r="B8" s="15"/>
      <c r="C8" s="15"/>
      <c r="D8" s="15"/>
      <c r="E8" s="15"/>
      <c r="F8" s="15"/>
      <c r="G8" s="15"/>
      <c r="H8" s="15"/>
      <c r="I8" s="15"/>
      <c r="J8" s="15"/>
      <c r="K8" s="15"/>
      <c r="L8" s="15"/>
      <c r="M8" s="15"/>
      <c r="N8" s="15"/>
    </row>
    <row r="9" spans="1:14" x14ac:dyDescent="0.25">
      <c r="A9" s="3" t="s">
        <v>5</v>
      </c>
    </row>
    <row r="10" spans="1:14" x14ac:dyDescent="0.25">
      <c r="A10" s="3" t="s">
        <v>6</v>
      </c>
    </row>
    <row r="11" spans="1:14" x14ac:dyDescent="0.25">
      <c r="A11" s="14" t="s">
        <v>7</v>
      </c>
      <c r="B11" s="15"/>
      <c r="C11" s="15"/>
      <c r="D11" s="15"/>
      <c r="E11" s="15"/>
      <c r="F11" s="15"/>
      <c r="G11" s="15"/>
      <c r="H11" s="15"/>
      <c r="I11" s="15"/>
      <c r="J11" s="15"/>
    </row>
    <row r="12" spans="1:14" x14ac:dyDescent="0.25">
      <c r="A12" s="3" t="s">
        <v>8</v>
      </c>
    </row>
    <row r="13" spans="1:14" x14ac:dyDescent="0.25">
      <c r="A13" s="2"/>
    </row>
    <row r="14" spans="1:14" ht="31.15" customHeight="1" x14ac:dyDescent="0.25">
      <c r="A14" s="52" t="s">
        <v>9</v>
      </c>
      <c r="B14" s="53"/>
      <c r="C14" s="53"/>
      <c r="D14" s="53"/>
      <c r="E14" s="53"/>
      <c r="F14" s="53"/>
      <c r="G14" s="53"/>
      <c r="H14" s="53"/>
      <c r="I14" s="53"/>
      <c r="J14" s="53"/>
      <c r="K14" s="53"/>
      <c r="L14" s="53"/>
      <c r="M14" s="53"/>
    </row>
    <row r="15" spans="1:14" x14ac:dyDescent="0.25">
      <c r="A15" s="1" t="s">
        <v>2</v>
      </c>
    </row>
    <row r="16" spans="1:14" x14ac:dyDescent="0.25">
      <c r="A16" s="3" t="s">
        <v>10</v>
      </c>
    </row>
    <row r="17" spans="1:11" x14ac:dyDescent="0.25">
      <c r="A17" s="3" t="s">
        <v>11</v>
      </c>
    </row>
    <row r="18" spans="1:11" x14ac:dyDescent="0.25">
      <c r="A18" s="14" t="s">
        <v>12</v>
      </c>
      <c r="B18" s="15"/>
      <c r="C18" s="15"/>
      <c r="D18" s="15"/>
      <c r="E18" s="15"/>
    </row>
    <row r="19" spans="1:11" x14ac:dyDescent="0.25">
      <c r="A19" s="3" t="s">
        <v>13</v>
      </c>
    </row>
    <row r="20" spans="1:11" x14ac:dyDescent="0.25">
      <c r="A20" s="3" t="s">
        <v>14</v>
      </c>
    </row>
    <row r="21" spans="1:11" x14ac:dyDescent="0.25">
      <c r="A21" s="14" t="s">
        <v>15</v>
      </c>
      <c r="B21" s="15"/>
      <c r="C21" s="15"/>
      <c r="D21" s="15"/>
      <c r="E21" s="15"/>
      <c r="F21" s="15"/>
      <c r="G21" s="15"/>
    </row>
    <row r="22" spans="1:11" x14ac:dyDescent="0.25">
      <c r="A22" s="2"/>
    </row>
    <row r="23" spans="1:11" x14ac:dyDescent="0.25">
      <c r="A23" s="2" t="s">
        <v>16</v>
      </c>
      <c r="I23" s="1" t="s">
        <v>17</v>
      </c>
    </row>
    <row r="24" spans="1:11" x14ac:dyDescent="0.25">
      <c r="A24" s="14" t="s">
        <v>18</v>
      </c>
      <c r="B24" s="15"/>
      <c r="C24" s="15"/>
      <c r="D24" s="15"/>
      <c r="E24" s="15"/>
      <c r="F24" s="15"/>
      <c r="G24" s="15"/>
      <c r="H24" s="15"/>
      <c r="I24" s="15"/>
    </row>
    <row r="25" spans="1:11" x14ac:dyDescent="0.25">
      <c r="A25" s="3" t="s">
        <v>19</v>
      </c>
    </row>
    <row r="26" spans="1:11" x14ac:dyDescent="0.25">
      <c r="A26" s="3" t="s">
        <v>20</v>
      </c>
    </row>
    <row r="27" spans="1:11" x14ac:dyDescent="0.25">
      <c r="A27" s="3" t="s">
        <v>21</v>
      </c>
    </row>
    <row r="28" spans="1:11" x14ac:dyDescent="0.25">
      <c r="A28" s="14" t="s">
        <v>22</v>
      </c>
      <c r="B28" s="15"/>
      <c r="C28" s="15"/>
      <c r="D28" s="15"/>
      <c r="E28" s="15"/>
      <c r="F28" s="15"/>
      <c r="G28" s="15"/>
      <c r="H28" s="15"/>
      <c r="I28" s="15"/>
    </row>
    <row r="29" spans="1:11" x14ac:dyDescent="0.25">
      <c r="A29" s="3" t="s">
        <v>23</v>
      </c>
    </row>
    <row r="30" spans="1:11" x14ac:dyDescent="0.25">
      <c r="A30" s="4"/>
    </row>
    <row r="31" spans="1:11" ht="34.9" customHeight="1" x14ac:dyDescent="0.25">
      <c r="A31" s="54" t="s">
        <v>24</v>
      </c>
      <c r="B31" s="53"/>
      <c r="C31" s="53"/>
      <c r="D31" s="53"/>
      <c r="E31" s="53"/>
      <c r="F31" s="53"/>
      <c r="G31" s="53"/>
      <c r="H31" s="53"/>
      <c r="I31" s="53"/>
      <c r="J31" s="53"/>
      <c r="K31" s="53"/>
    </row>
    <row r="32" spans="1:11" ht="15.75" thickBot="1" x14ac:dyDescent="0.3">
      <c r="A32" s="1" t="s">
        <v>25</v>
      </c>
    </row>
    <row r="33" spans="1:15" ht="15.75" thickBot="1" x14ac:dyDescent="0.3">
      <c r="A33" t="s">
        <v>87</v>
      </c>
      <c r="B33" s="16">
        <v>0</v>
      </c>
      <c r="C33" s="17" t="s">
        <v>86</v>
      </c>
    </row>
    <row r="34" spans="1:15" x14ac:dyDescent="0.25">
      <c r="A34" s="2"/>
    </row>
    <row r="35" spans="1:15" ht="49.5" customHeight="1" x14ac:dyDescent="0.25">
      <c r="A35" s="52" t="s">
        <v>26</v>
      </c>
      <c r="B35" s="53"/>
      <c r="C35" s="53"/>
      <c r="D35" s="53"/>
      <c r="E35" s="53"/>
      <c r="F35" s="53"/>
      <c r="G35" s="53"/>
      <c r="H35" s="53"/>
      <c r="I35" s="53"/>
      <c r="J35" s="53"/>
      <c r="K35" s="53"/>
    </row>
    <row r="36" spans="1:15" x14ac:dyDescent="0.25">
      <c r="A36" s="1" t="s">
        <v>25</v>
      </c>
      <c r="I36" s="51" t="s">
        <v>86</v>
      </c>
      <c r="J36">
        <f>B38</f>
        <v>100</v>
      </c>
    </row>
    <row r="37" spans="1:15" x14ac:dyDescent="0.25">
      <c r="A37" t="s">
        <v>118</v>
      </c>
      <c r="B37">
        <v>0</v>
      </c>
      <c r="C37" t="s">
        <v>89</v>
      </c>
      <c r="D37" t="s">
        <v>88</v>
      </c>
      <c r="E37">
        <f>10+6</f>
        <v>16</v>
      </c>
      <c r="F37" t="s">
        <v>89</v>
      </c>
      <c r="G37" t="s">
        <v>91</v>
      </c>
      <c r="H37">
        <f>40+4*3</f>
        <v>52</v>
      </c>
      <c r="I37" t="s">
        <v>89</v>
      </c>
      <c r="K37">
        <f>E38</f>
        <v>96.5</v>
      </c>
    </row>
    <row r="38" spans="1:15" x14ac:dyDescent="0.25">
      <c r="A38" t="s">
        <v>117</v>
      </c>
      <c r="B38">
        <v>100</v>
      </c>
      <c r="C38" t="s">
        <v>86</v>
      </c>
      <c r="D38" s="1" t="s">
        <v>90</v>
      </c>
      <c r="E38">
        <f>100-3-5/10</f>
        <v>96.5</v>
      </c>
      <c r="F38" t="s">
        <v>86</v>
      </c>
      <c r="G38" t="s">
        <v>115</v>
      </c>
      <c r="H38">
        <f>100-6-3/4</f>
        <v>93.25</v>
      </c>
      <c r="I38" t="s">
        <v>86</v>
      </c>
      <c r="M38">
        <f>H38</f>
        <v>93.25</v>
      </c>
    </row>
    <row r="39" spans="1:15" x14ac:dyDescent="0.25">
      <c r="A39" s="1" t="s">
        <v>119</v>
      </c>
      <c r="B39">
        <f>10^(B38/10)</f>
        <v>10000000000</v>
      </c>
      <c r="C39" t="s">
        <v>116</v>
      </c>
      <c r="D39" s="1" t="s">
        <v>120</v>
      </c>
      <c r="E39">
        <f>10^(E38/10)</f>
        <v>4466835921.5096483</v>
      </c>
      <c r="F39" t="s">
        <v>116</v>
      </c>
      <c r="G39" s="1" t="s">
        <v>121</v>
      </c>
      <c r="H39">
        <f>10^(H38/10)</f>
        <v>2113489039.8366463</v>
      </c>
      <c r="I39" t="s">
        <v>116</v>
      </c>
    </row>
    <row r="40" spans="1:15" x14ac:dyDescent="0.25">
      <c r="A40" s="1"/>
    </row>
    <row r="41" spans="1:15" x14ac:dyDescent="0.25">
      <c r="A41" s="1"/>
    </row>
    <row r="42" spans="1:15" ht="15.75" thickBot="1" x14ac:dyDescent="0.3">
      <c r="A42" s="1"/>
      <c r="D42" t="s">
        <v>92</v>
      </c>
      <c r="E42">
        <f>E37*E39+H37*H39</f>
        <v>181370804815.65997</v>
      </c>
      <c r="K42" s="50">
        <f>B37</f>
        <v>0</v>
      </c>
      <c r="L42" s="50">
        <f>E37</f>
        <v>16</v>
      </c>
      <c r="N42" s="50">
        <f>H37</f>
        <v>52</v>
      </c>
      <c r="O42" t="s">
        <v>89</v>
      </c>
    </row>
    <row r="43" spans="1:15" ht="15.75" thickBot="1" x14ac:dyDescent="0.3">
      <c r="A43" s="1"/>
      <c r="G43" s="51" t="s">
        <v>122</v>
      </c>
      <c r="H43" s="18">
        <f>E42/E44</f>
        <v>10.938917375774579</v>
      </c>
      <c r="I43" s="17" t="s">
        <v>89</v>
      </c>
    </row>
    <row r="44" spans="1:15" x14ac:dyDescent="0.25">
      <c r="A44" s="1"/>
      <c r="D44" t="s">
        <v>93</v>
      </c>
      <c r="E44">
        <f>B39+E39+H39</f>
        <v>16580324961.346294</v>
      </c>
    </row>
    <row r="45" spans="1:15" x14ac:dyDescent="0.25">
      <c r="A45" s="1"/>
    </row>
    <row r="46" spans="1:15" x14ac:dyDescent="0.25">
      <c r="A46" s="1"/>
    </row>
    <row r="47" spans="1:15" x14ac:dyDescent="0.25">
      <c r="A47" s="1"/>
    </row>
    <row r="48" spans="1:15" ht="43.15" customHeight="1" x14ac:dyDescent="0.25">
      <c r="A48" s="52" t="s">
        <v>28</v>
      </c>
      <c r="B48" s="53"/>
      <c r="C48" s="53"/>
      <c r="D48" s="53"/>
      <c r="E48" s="53"/>
      <c r="F48" s="53"/>
      <c r="G48" s="53"/>
      <c r="H48" s="53"/>
      <c r="I48" s="53"/>
      <c r="J48" s="53"/>
    </row>
    <row r="49" spans="1:10" x14ac:dyDescent="0.25">
      <c r="A49" s="1" t="s">
        <v>25</v>
      </c>
    </row>
    <row r="50" spans="1:10" x14ac:dyDescent="0.25">
      <c r="A50" t="s">
        <v>94</v>
      </c>
      <c r="B50">
        <f>4+6</f>
        <v>10</v>
      </c>
      <c r="C50" t="s">
        <v>95</v>
      </c>
      <c r="D50">
        <f>48000*B50</f>
        <v>480000</v>
      </c>
      <c r="E50" t="s">
        <v>96</v>
      </c>
    </row>
    <row r="51" spans="1:10" x14ac:dyDescent="0.25">
      <c r="A51" s="5"/>
      <c r="C51" t="s">
        <v>97</v>
      </c>
      <c r="D51">
        <f>D50-1</f>
        <v>479999</v>
      </c>
      <c r="E51" t="s">
        <v>96</v>
      </c>
    </row>
    <row r="52" spans="1:10" x14ac:dyDescent="0.25">
      <c r="A52" s="5"/>
    </row>
    <row r="53" spans="1:10" x14ac:dyDescent="0.25">
      <c r="A53" s="2" t="s">
        <v>29</v>
      </c>
    </row>
    <row r="54" spans="1:10" x14ac:dyDescent="0.25">
      <c r="A54" s="1" t="s">
        <v>25</v>
      </c>
    </row>
    <row r="55" spans="1:10" ht="15.75" thickBot="1" x14ac:dyDescent="0.3">
      <c r="A55" s="1" t="s">
        <v>98</v>
      </c>
      <c r="B55">
        <v>456</v>
      </c>
      <c r="C55" t="s">
        <v>99</v>
      </c>
      <c r="D55" t="s">
        <v>100</v>
      </c>
      <c r="E55">
        <f>7+5</f>
        <v>12</v>
      </c>
      <c r="F55" t="s">
        <v>101</v>
      </c>
      <c r="G55" t="s">
        <v>102</v>
      </c>
      <c r="H55">
        <f>B55/E55</f>
        <v>38</v>
      </c>
      <c r="I55" t="s">
        <v>103</v>
      </c>
    </row>
    <row r="56" spans="1:10" ht="15.75" thickBot="1" x14ac:dyDescent="0.3">
      <c r="A56" s="1" t="s">
        <v>104</v>
      </c>
      <c r="B56">
        <f>300+4*10</f>
        <v>340</v>
      </c>
      <c r="C56" t="s">
        <v>105</v>
      </c>
      <c r="E56" t="s">
        <v>106</v>
      </c>
      <c r="H56" s="18">
        <f>20*LOG10(Sigma*f)-44</f>
        <v>38.225250273181302</v>
      </c>
      <c r="I56" s="17" t="s">
        <v>86</v>
      </c>
      <c r="J56" s="1" t="s">
        <v>27</v>
      </c>
    </row>
    <row r="57" spans="1:10" x14ac:dyDescent="0.25">
      <c r="A57" s="1"/>
      <c r="H57" s="19"/>
      <c r="I57" s="19"/>
      <c r="J57" s="1"/>
    </row>
    <row r="58" spans="1:10" x14ac:dyDescent="0.25">
      <c r="A58" s="2" t="s">
        <v>30</v>
      </c>
    </row>
    <row r="59" spans="1:10" x14ac:dyDescent="0.25">
      <c r="A59" s="2" t="s">
        <v>31</v>
      </c>
    </row>
    <row r="60" spans="1:10" x14ac:dyDescent="0.25">
      <c r="A60" s="1" t="s">
        <v>25</v>
      </c>
    </row>
    <row r="61" spans="1:10" x14ac:dyDescent="0.25">
      <c r="A61" s="1" t="s">
        <v>107</v>
      </c>
      <c r="B61">
        <f>0.3+6/100</f>
        <v>0.36</v>
      </c>
    </row>
    <row r="62" spans="1:10" ht="15.75" thickBot="1" x14ac:dyDescent="0.3">
      <c r="A62" s="1" t="s">
        <v>108</v>
      </c>
      <c r="B62">
        <f>0.3+5/100</f>
        <v>0.35</v>
      </c>
    </row>
    <row r="63" spans="1:10" ht="15.75" thickBot="1" x14ac:dyDescent="0.3">
      <c r="A63" s="1" t="s">
        <v>109</v>
      </c>
      <c r="B63" s="20">
        <f>B61+B62</f>
        <v>0.71</v>
      </c>
    </row>
  </sheetData>
  <mergeCells count="4">
    <mergeCell ref="A14:M14"/>
    <mergeCell ref="A31:K31"/>
    <mergeCell ref="A35:K35"/>
    <mergeCell ref="A48:J4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shapeId="1030" r:id="rId4">
          <objectPr defaultSize="0" autoPict="0" r:id="rId5">
            <anchor moveWithCells="1">
              <from>
                <xdr:col>0</xdr:col>
                <xdr:colOff>552450</xdr:colOff>
                <xdr:row>39</xdr:row>
                <xdr:rowOff>123825</xdr:rowOff>
              </from>
              <to>
                <xdr:col>2</xdr:col>
                <xdr:colOff>495300</xdr:colOff>
                <xdr:row>45</xdr:row>
                <xdr:rowOff>95250</xdr:rowOff>
              </to>
            </anchor>
          </objectPr>
        </oleObject>
      </mc:Choice>
      <mc:Fallback>
        <oleObject shapeId="1030"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F5739-F4F7-49CD-AD99-7A25CCCB6285}">
  <dimension ref="A1:AT9"/>
  <sheetViews>
    <sheetView tabSelected="1" zoomScale="160" zoomScaleNormal="160" workbookViewId="0">
      <pane xSplit="4" ySplit="1" topLeftCell="AC2" activePane="bottomRight" state="frozen"/>
      <selection pane="topRight" activeCell="E1" sqref="E1"/>
      <selection pane="bottomLeft" activeCell="A2" sqref="A2"/>
      <selection pane="bottomRight" activeCell="AM8" sqref="AM8"/>
    </sheetView>
  </sheetViews>
  <sheetFormatPr defaultRowHeight="15" x14ac:dyDescent="0.25"/>
  <cols>
    <col min="1" max="1" width="4.85546875" customWidth="1"/>
    <col min="2" max="2" width="18.28515625" customWidth="1"/>
    <col min="3" max="3" width="34.85546875" customWidth="1"/>
    <col min="4" max="4" width="18.28515625" customWidth="1"/>
    <col min="6" max="11" width="3.5703125" customWidth="1"/>
    <col min="13" max="18" width="3.140625" customWidth="1"/>
    <col min="20" max="25" width="3.28515625" customWidth="1"/>
    <col min="26" max="26" width="16.7109375" customWidth="1"/>
    <col min="27" max="27" width="6.140625" customWidth="1"/>
    <col min="29" max="29" width="9.28515625" customWidth="1"/>
    <col min="30" max="30" width="8.42578125" customWidth="1"/>
    <col min="31" max="31" width="6.28515625" customWidth="1"/>
    <col min="32" max="32" width="11.7109375" customWidth="1"/>
    <col min="35" max="35" width="6.28515625" customWidth="1"/>
    <col min="36" max="36" width="14.5703125" customWidth="1"/>
    <col min="37" max="37" width="9" customWidth="1"/>
    <col min="38" max="38" width="6.5703125" customWidth="1"/>
    <col min="41" max="42" width="7.28515625" customWidth="1"/>
    <col min="45" max="45" width="6.85546875" customWidth="1"/>
  </cols>
  <sheetData>
    <row r="1" spans="1:46" x14ac:dyDescent="0.25">
      <c r="A1" s="21" t="s">
        <v>110</v>
      </c>
      <c r="B1" s="24" t="s">
        <v>39</v>
      </c>
      <c r="C1" s="29" t="s">
        <v>40</v>
      </c>
      <c r="D1" s="29" t="s">
        <v>41</v>
      </c>
      <c r="E1" s="24" t="s">
        <v>32</v>
      </c>
      <c r="F1" s="24" t="s">
        <v>34</v>
      </c>
      <c r="G1" s="24" t="s">
        <v>33</v>
      </c>
      <c r="H1" s="24" t="s">
        <v>35</v>
      </c>
      <c r="I1" s="24" t="s">
        <v>36</v>
      </c>
      <c r="J1" s="24" t="s">
        <v>37</v>
      </c>
      <c r="K1" s="24" t="s">
        <v>38</v>
      </c>
      <c r="L1" s="29" t="s">
        <v>42</v>
      </c>
      <c r="M1" s="24">
        <v>1</v>
      </c>
      <c r="N1" s="24">
        <v>1</v>
      </c>
      <c r="O1" s="24">
        <v>-1</v>
      </c>
      <c r="P1" s="24">
        <v>-1</v>
      </c>
      <c r="Q1" s="24">
        <v>1</v>
      </c>
      <c r="R1" s="24">
        <v>-1</v>
      </c>
      <c r="S1" s="29" t="s">
        <v>9</v>
      </c>
      <c r="T1" s="24">
        <v>-1</v>
      </c>
      <c r="U1" s="24">
        <v>-1</v>
      </c>
      <c r="V1" s="24">
        <v>1</v>
      </c>
      <c r="W1" s="24">
        <v>-1</v>
      </c>
      <c r="X1" s="24">
        <v>-1</v>
      </c>
      <c r="Y1" s="24">
        <v>1</v>
      </c>
      <c r="Z1" s="29" t="s">
        <v>43</v>
      </c>
      <c r="AA1" s="24" t="s">
        <v>111</v>
      </c>
      <c r="AB1" s="29" t="s">
        <v>24</v>
      </c>
      <c r="AC1" s="24" t="s">
        <v>112</v>
      </c>
      <c r="AD1" s="24" t="s">
        <v>113</v>
      </c>
      <c r="AE1" s="24" t="s">
        <v>111</v>
      </c>
      <c r="AF1" s="29" t="s">
        <v>26</v>
      </c>
      <c r="AG1" s="24" t="s">
        <v>112</v>
      </c>
      <c r="AH1" s="24" t="s">
        <v>113</v>
      </c>
      <c r="AI1" s="24" t="s">
        <v>111</v>
      </c>
      <c r="AJ1" s="29" t="s">
        <v>28</v>
      </c>
      <c r="AK1" s="24" t="s">
        <v>112</v>
      </c>
      <c r="AL1" s="24" t="s">
        <v>111</v>
      </c>
      <c r="AM1" s="29" t="s">
        <v>44</v>
      </c>
      <c r="AN1" s="24" t="s">
        <v>112</v>
      </c>
      <c r="AO1" s="24" t="s">
        <v>113</v>
      </c>
      <c r="AP1" s="24" t="s">
        <v>111</v>
      </c>
      <c r="AQ1" s="29" t="s">
        <v>45</v>
      </c>
      <c r="AR1" s="24" t="s">
        <v>112</v>
      </c>
      <c r="AS1" s="24" t="s">
        <v>111</v>
      </c>
      <c r="AT1" s="33" t="s">
        <v>114</v>
      </c>
    </row>
    <row r="2" spans="1:46" x14ac:dyDescent="0.25">
      <c r="A2" s="22">
        <v>1</v>
      </c>
      <c r="B2" s="36">
        <v>44516.410937499997</v>
      </c>
      <c r="C2" s="37" t="s">
        <v>46</v>
      </c>
      <c r="D2" s="37" t="s">
        <v>47</v>
      </c>
      <c r="E2" s="38">
        <v>340216</v>
      </c>
      <c r="F2" s="25">
        <f t="shared" ref="F2:F9" si="0">INT(E2/100000)</f>
        <v>3</v>
      </c>
      <c r="G2" s="25">
        <f t="shared" ref="G2:G9" si="1">INT(($E2-100000*F2)/10000)</f>
        <v>4</v>
      </c>
      <c r="H2" s="25">
        <f t="shared" ref="H2:H9" si="2">INT(($E2-100000*F2-10000*G2)/1000)</f>
        <v>0</v>
      </c>
      <c r="I2" s="25">
        <f t="shared" ref="I2:I9" si="3">INT(($E2-100000*$F2-10000*$G2-1000*$H2)/100)</f>
        <v>2</v>
      </c>
      <c r="J2" s="25">
        <f t="shared" ref="J2:J9" si="4">INT(($E2-100000*$F2-10000*$G2-1000*$H2-100*$I2)/10)</f>
        <v>1</v>
      </c>
      <c r="K2" s="25">
        <f t="shared" ref="K2:K9" si="5">INT(($E2-100000*$F2-10000*$G2-1000*$H2-100*$I2-10*$J2))</f>
        <v>6</v>
      </c>
      <c r="L2" s="37" t="s">
        <v>48</v>
      </c>
      <c r="M2" s="27">
        <f>IF(ISERROR(FIND("the temporal effects related to sound propagation in a room",L2,1)),0,M$1)</f>
        <v>1</v>
      </c>
      <c r="N2" s="27">
        <f>IF(ISERROR(FIND("the spectral effects related to sound propagation in a room",L2,1)),0,N$1)</f>
        <v>0</v>
      </c>
      <c r="O2" s="27">
        <f>IF(ISERROR(FIND("the spatial effects related to sound propagation in a room",L2,1)),0,O$1)</f>
        <v>-1</v>
      </c>
      <c r="P2" s="27">
        <f>IF(ISERROR(FIND("For evaluating the envelopment it is necessary to measure a binaural impulse response",L2,1)),0,P$1)</f>
        <v>0</v>
      </c>
      <c r="Q2" s="27">
        <f>IF(ISERROR(FIND("It is possible to convert an Ambisonics",L2,1)),0,Q$1)</f>
        <v>0</v>
      </c>
      <c r="R2" s="27">
        <f>IF(ISERROR(FIND("It is possible to convert a binaural impulse response",L2,1)),0,R$1)</f>
        <v>0</v>
      </c>
      <c r="S2" s="37" t="s">
        <v>49</v>
      </c>
      <c r="T2" s="27">
        <f>IF(ISERROR(FIND("The total SPL reduces by 3 dB",S2,1)),0,T$1)</f>
        <v>-1</v>
      </c>
      <c r="U2" s="27">
        <f>IF(ISERROR(FIND("The Clarity Index C50 does not change",S2,1)),0,U$1)</f>
        <v>0</v>
      </c>
      <c r="V2" s="27">
        <f>IF(ISERROR(FIND("The Clarity Index C50 increases by 3 dB",S2,1)),0,V$1)</f>
        <v>1</v>
      </c>
      <c r="W2" s="27">
        <f>IF(ISERROR(FIND("The Clarity Index C50 increases by 6 dB",S2,1)),0,W$1)</f>
        <v>0</v>
      </c>
      <c r="X2" s="27">
        <f>IF(ISERROR(FIND("The reverberation time does not change",S2,1)),0,X$1)</f>
        <v>0</v>
      </c>
      <c r="Y2" s="27">
        <f>IF(ISERROR(FIND("The reverberation time becomes half of the original one",S2,1)),0,Y$1)</f>
        <v>0</v>
      </c>
      <c r="Z2" s="39" t="s">
        <v>50</v>
      </c>
      <c r="AA2" s="28">
        <v>1</v>
      </c>
      <c r="AB2" s="37"/>
      <c r="AC2" s="30">
        <v>0</v>
      </c>
      <c r="AD2" s="31" t="s">
        <v>86</v>
      </c>
      <c r="AE2" s="27">
        <v>0</v>
      </c>
      <c r="AF2" s="37"/>
      <c r="AG2" s="30">
        <f>((10+K2)*10^((100-3-J2/10)/10)+(40+I2*3)*10^((100-6-H2/4)/10))/(10^((100-3-J2/10)/10)+10^((100-6-H2/4)/10)+10^(100/10))</f>
        <v>11.138139633452862</v>
      </c>
      <c r="AH2" s="31" t="s">
        <v>89</v>
      </c>
      <c r="AI2" s="27">
        <v>0</v>
      </c>
      <c r="AJ2" s="37" t="s">
        <v>51</v>
      </c>
      <c r="AK2" s="32">
        <f>(4+K2)*48000-1</f>
        <v>479999</v>
      </c>
      <c r="AL2" s="27">
        <v>0</v>
      </c>
      <c r="AM2" s="37" t="s">
        <v>52</v>
      </c>
      <c r="AN2" s="30">
        <f>20*LOG10((400+J2*10+K2)/(7+J2)*(300+I2*10))-44</f>
        <v>40.4230664390941</v>
      </c>
      <c r="AO2" s="31" t="s">
        <v>86</v>
      </c>
      <c r="AP2" s="27">
        <v>0</v>
      </c>
      <c r="AQ2" s="40">
        <v>0.67</v>
      </c>
      <c r="AR2" s="30">
        <f>(0.3+K2/100)+(0.3+J2/100)</f>
        <v>0.66999999999999993</v>
      </c>
      <c r="AS2" s="28">
        <v>1</v>
      </c>
      <c r="AT2" s="34">
        <f>SUM(M2:R2)+SUM(T2:Y2)+AA2+AE2+AI2+AL2+AP2+AS2</f>
        <v>2</v>
      </c>
    </row>
    <row r="3" spans="1:46" x14ac:dyDescent="0.25">
      <c r="A3" s="22">
        <v>2</v>
      </c>
      <c r="B3" s="36">
        <v>44516.412569444445</v>
      </c>
      <c r="C3" s="37" t="s">
        <v>53</v>
      </c>
      <c r="D3" s="37" t="s">
        <v>54</v>
      </c>
      <c r="E3" s="38">
        <v>321870</v>
      </c>
      <c r="F3" s="25">
        <f t="shared" si="0"/>
        <v>3</v>
      </c>
      <c r="G3" s="25">
        <f t="shared" si="1"/>
        <v>2</v>
      </c>
      <c r="H3" s="25">
        <f t="shared" si="2"/>
        <v>1</v>
      </c>
      <c r="I3" s="25">
        <f t="shared" si="3"/>
        <v>8</v>
      </c>
      <c r="J3" s="25">
        <f t="shared" si="4"/>
        <v>7</v>
      </c>
      <c r="K3" s="25">
        <f t="shared" si="5"/>
        <v>0</v>
      </c>
      <c r="L3" s="37" t="s">
        <v>55</v>
      </c>
      <c r="M3" s="27">
        <f t="shared" ref="M3:M9" si="6">IF(ISERROR(FIND("the temporal effects related to sound propagation in a room",L3,1)),0,M$1)</f>
        <v>0</v>
      </c>
      <c r="N3" s="27">
        <f t="shared" ref="N3:N9" si="7">IF(ISERROR(FIND("the spectral effects related to sound propagation in a room",L3,1)),0,N$1)</f>
        <v>1</v>
      </c>
      <c r="O3" s="27">
        <f t="shared" ref="O3:O9" si="8">IF(ISERROR(FIND("the spatial effects related to sound propagation in a room",L3,1)),0,O$1)</f>
        <v>0</v>
      </c>
      <c r="P3" s="27">
        <f t="shared" ref="P3:P9" si="9">IF(ISERROR(FIND("For evaluating the envelopment it is necessary to measure a binaural impulse response",L3,1)),0,P$1)</f>
        <v>0</v>
      </c>
      <c r="Q3" s="27">
        <f t="shared" ref="Q3:Q9" si="10">IF(ISERROR(FIND("It is possible to convert an Ambisonics",L3,1)),0,Q$1)</f>
        <v>0</v>
      </c>
      <c r="R3" s="27">
        <f t="shared" ref="R3:R9" si="11">IF(ISERROR(FIND("It is possible to convert a binaural impulse response",L3,1)),0,R$1)</f>
        <v>-1</v>
      </c>
      <c r="S3" s="37" t="s">
        <v>56</v>
      </c>
      <c r="T3" s="27">
        <f t="shared" ref="T3:T9" si="12">IF(ISERROR(FIND("The total SPL reduces by 3 dB",S3,1)),0,T$1)</f>
        <v>0</v>
      </c>
      <c r="U3" s="27">
        <f t="shared" ref="U3:U9" si="13">IF(ISERROR(FIND("The Clarity Index C50 does not change",S3,1)),0,U$1)</f>
        <v>0</v>
      </c>
      <c r="V3" s="27">
        <f t="shared" ref="V3:V9" si="14">IF(ISERROR(FIND("The Clarity Index C50 increases by 3 dB",S3,1)),0,V$1)</f>
        <v>1</v>
      </c>
      <c r="W3" s="27">
        <f t="shared" ref="W3:W9" si="15">IF(ISERROR(FIND("The Clarity Index C50 increases by 6 dB",S3,1)),0,W$1)</f>
        <v>0</v>
      </c>
      <c r="X3" s="27">
        <f t="shared" ref="X3:X9" si="16">IF(ISERROR(FIND("The reverberation time does not change",S3,1)),0,X$1)</f>
        <v>0</v>
      </c>
      <c r="Y3" s="27">
        <f t="shared" ref="Y3:Y9" si="17">IF(ISERROR(FIND("The reverberation time becomes half of the original one",S3,1)),0,Y$1)</f>
        <v>1</v>
      </c>
      <c r="Z3" s="37" t="s">
        <v>50</v>
      </c>
      <c r="AA3" s="28">
        <v>1</v>
      </c>
      <c r="AB3" s="37" t="s">
        <v>57</v>
      </c>
      <c r="AC3" s="30">
        <v>0</v>
      </c>
      <c r="AD3" s="31" t="s">
        <v>86</v>
      </c>
      <c r="AE3" s="27">
        <v>2</v>
      </c>
      <c r="AF3" s="37" t="s">
        <v>58</v>
      </c>
      <c r="AG3" s="30">
        <f>((10+K3)*10^((100-3-J3/10)/10)+(40+I3*3)*10^((100-6-H3/4)/10))/(10^((100-3-J3/10)/10)+10^((100-6-H3/4)/10)+10^(100/10))</f>
        <v>11.686235217362665</v>
      </c>
      <c r="AH3" s="31" t="s">
        <v>89</v>
      </c>
      <c r="AI3" s="27">
        <v>1</v>
      </c>
      <c r="AJ3" s="40">
        <v>191999</v>
      </c>
      <c r="AK3" s="32">
        <f t="shared" ref="AK3:AK8" si="18">(4+K3)*48000-1</f>
        <v>191999</v>
      </c>
      <c r="AL3" s="27">
        <v>1</v>
      </c>
      <c r="AM3" s="37" t="s">
        <v>59</v>
      </c>
      <c r="AN3" s="30">
        <f t="shared" ref="AN3:AN9" si="19">20*LOG10((400+J3*10+K3)/(7+J3)*(300+I3*10))-44</f>
        <v>38.115068377485798</v>
      </c>
      <c r="AO3" s="31" t="s">
        <v>86</v>
      </c>
      <c r="AP3" s="27">
        <v>2</v>
      </c>
      <c r="AQ3" s="40">
        <v>0.67</v>
      </c>
      <c r="AR3" s="30">
        <f t="shared" ref="AR3:AR9" si="20">(0.3+K3/100)+(0.3+J3/100)</f>
        <v>0.66999999999999993</v>
      </c>
      <c r="AS3" s="28">
        <v>1</v>
      </c>
      <c r="AT3" s="34">
        <f t="shared" ref="AT3:AT9" si="21">SUM(M3:R3)+SUM(T3:Y3)+AA3+AE3+AI3+AL3+AP3+AS3</f>
        <v>10</v>
      </c>
    </row>
    <row r="4" spans="1:46" x14ac:dyDescent="0.25">
      <c r="A4" s="22">
        <v>3</v>
      </c>
      <c r="B4" s="36">
        <v>44516.412604166668</v>
      </c>
      <c r="C4" s="37" t="s">
        <v>60</v>
      </c>
      <c r="D4" s="37" t="s">
        <v>61</v>
      </c>
      <c r="E4" s="38">
        <v>325905</v>
      </c>
      <c r="F4" s="25">
        <f t="shared" si="0"/>
        <v>3</v>
      </c>
      <c r="G4" s="25">
        <f t="shared" si="1"/>
        <v>2</v>
      </c>
      <c r="H4" s="25">
        <f t="shared" si="2"/>
        <v>5</v>
      </c>
      <c r="I4" s="25">
        <f t="shared" si="3"/>
        <v>9</v>
      </c>
      <c r="J4" s="25">
        <f t="shared" si="4"/>
        <v>0</v>
      </c>
      <c r="K4" s="25">
        <f t="shared" si="5"/>
        <v>5</v>
      </c>
      <c r="L4" s="37" t="s">
        <v>55</v>
      </c>
      <c r="M4" s="27">
        <f t="shared" si="6"/>
        <v>0</v>
      </c>
      <c r="N4" s="27">
        <f t="shared" si="7"/>
        <v>1</v>
      </c>
      <c r="O4" s="27">
        <f t="shared" si="8"/>
        <v>0</v>
      </c>
      <c r="P4" s="27">
        <f t="shared" si="9"/>
        <v>0</v>
      </c>
      <c r="Q4" s="27">
        <f t="shared" si="10"/>
        <v>0</v>
      </c>
      <c r="R4" s="27">
        <f t="shared" si="11"/>
        <v>-1</v>
      </c>
      <c r="S4" s="37" t="s">
        <v>56</v>
      </c>
      <c r="T4" s="27">
        <f t="shared" si="12"/>
        <v>0</v>
      </c>
      <c r="U4" s="27">
        <f t="shared" si="13"/>
        <v>0</v>
      </c>
      <c r="V4" s="27">
        <f t="shared" si="14"/>
        <v>1</v>
      </c>
      <c r="W4" s="27">
        <f t="shared" si="15"/>
        <v>0</v>
      </c>
      <c r="X4" s="27">
        <f t="shared" si="16"/>
        <v>0</v>
      </c>
      <c r="Y4" s="27">
        <f t="shared" si="17"/>
        <v>1</v>
      </c>
      <c r="Z4" s="37" t="s">
        <v>50</v>
      </c>
      <c r="AA4" s="28">
        <v>1</v>
      </c>
      <c r="AB4" s="37" t="s">
        <v>57</v>
      </c>
      <c r="AC4" s="30">
        <v>0</v>
      </c>
      <c r="AD4" s="31" t="s">
        <v>86</v>
      </c>
      <c r="AE4" s="27">
        <v>2</v>
      </c>
      <c r="AF4" s="37" t="s">
        <v>62</v>
      </c>
      <c r="AG4" s="30">
        <f t="shared" ref="AG4:AG9" si="22">((10+K4)*10^((100-3-J4/10)/10)+(40+I4*3)*10^((100-6-H4/4)/10))/(10^((100-3-J4/10)/10)+10^((100-6-H4/4)/10)+10^(100/10))</f>
        <v>11.919287304908917</v>
      </c>
      <c r="AH4" s="31" t="s">
        <v>89</v>
      </c>
      <c r="AI4" s="27">
        <v>1</v>
      </c>
      <c r="AJ4" s="40">
        <v>431999</v>
      </c>
      <c r="AK4" s="32">
        <f t="shared" si="18"/>
        <v>431999</v>
      </c>
      <c r="AL4" s="27">
        <v>1</v>
      </c>
      <c r="AM4" s="37" t="s">
        <v>63</v>
      </c>
      <c r="AN4" s="30">
        <f t="shared" si="19"/>
        <v>43.068431804538221</v>
      </c>
      <c r="AO4" s="31" t="s">
        <v>86</v>
      </c>
      <c r="AP4" s="27">
        <v>2</v>
      </c>
      <c r="AQ4" s="40">
        <v>0.65</v>
      </c>
      <c r="AR4" s="30">
        <f t="shared" si="20"/>
        <v>0.64999999999999991</v>
      </c>
      <c r="AS4" s="28">
        <v>1</v>
      </c>
      <c r="AT4" s="34">
        <f t="shared" si="21"/>
        <v>10</v>
      </c>
    </row>
    <row r="5" spans="1:46" x14ac:dyDescent="0.25">
      <c r="A5" s="22">
        <v>4</v>
      </c>
      <c r="B5" s="36">
        <v>44516.413483796299</v>
      </c>
      <c r="C5" s="37" t="s">
        <v>64</v>
      </c>
      <c r="D5" s="37" t="s">
        <v>65</v>
      </c>
      <c r="E5" s="38">
        <v>324363</v>
      </c>
      <c r="F5" s="25">
        <f t="shared" si="0"/>
        <v>3</v>
      </c>
      <c r="G5" s="25">
        <f t="shared" si="1"/>
        <v>2</v>
      </c>
      <c r="H5" s="25">
        <f t="shared" si="2"/>
        <v>4</v>
      </c>
      <c r="I5" s="25">
        <f t="shared" si="3"/>
        <v>3</v>
      </c>
      <c r="J5" s="25">
        <f t="shared" si="4"/>
        <v>6</v>
      </c>
      <c r="K5" s="25">
        <f t="shared" si="5"/>
        <v>3</v>
      </c>
      <c r="L5" s="37" t="s">
        <v>55</v>
      </c>
      <c r="M5" s="27">
        <f t="shared" si="6"/>
        <v>0</v>
      </c>
      <c r="N5" s="27">
        <f t="shared" si="7"/>
        <v>1</v>
      </c>
      <c r="O5" s="27">
        <f t="shared" si="8"/>
        <v>0</v>
      </c>
      <c r="P5" s="27">
        <f t="shared" si="9"/>
        <v>0</v>
      </c>
      <c r="Q5" s="27">
        <f t="shared" si="10"/>
        <v>0</v>
      </c>
      <c r="R5" s="27">
        <f t="shared" si="11"/>
        <v>-1</v>
      </c>
      <c r="S5" s="37" t="s">
        <v>66</v>
      </c>
      <c r="T5" s="27">
        <f t="shared" si="12"/>
        <v>0</v>
      </c>
      <c r="U5" s="27">
        <f t="shared" si="13"/>
        <v>0</v>
      </c>
      <c r="V5" s="27">
        <f t="shared" si="14"/>
        <v>1</v>
      </c>
      <c r="W5" s="27">
        <f t="shared" si="15"/>
        <v>0</v>
      </c>
      <c r="X5" s="27">
        <f t="shared" si="16"/>
        <v>0</v>
      </c>
      <c r="Y5" s="27">
        <f t="shared" si="17"/>
        <v>0</v>
      </c>
      <c r="Z5" s="37" t="s">
        <v>50</v>
      </c>
      <c r="AA5" s="28">
        <v>1</v>
      </c>
      <c r="AB5" s="37" t="s">
        <v>57</v>
      </c>
      <c r="AC5" s="30">
        <v>0</v>
      </c>
      <c r="AD5" s="31" t="s">
        <v>86</v>
      </c>
      <c r="AE5" s="27">
        <v>2</v>
      </c>
      <c r="AF5" s="41" t="s">
        <v>67</v>
      </c>
      <c r="AG5" s="30">
        <f t="shared" si="22"/>
        <v>9.4444339207118801</v>
      </c>
      <c r="AH5" s="31" t="s">
        <v>89</v>
      </c>
      <c r="AI5" s="27">
        <v>1</v>
      </c>
      <c r="AJ5" s="40">
        <v>335999</v>
      </c>
      <c r="AK5" s="32">
        <f t="shared" si="18"/>
        <v>335999</v>
      </c>
      <c r="AL5" s="27">
        <v>1</v>
      </c>
      <c r="AM5" s="41" t="s">
        <v>68</v>
      </c>
      <c r="AN5" s="30">
        <f t="shared" si="19"/>
        <v>37.403031571780076</v>
      </c>
      <c r="AO5" s="31" t="s">
        <v>86</v>
      </c>
      <c r="AP5" s="27">
        <v>1</v>
      </c>
      <c r="AQ5" s="40">
        <v>0.69</v>
      </c>
      <c r="AR5" s="30">
        <f t="shared" si="20"/>
        <v>0.69</v>
      </c>
      <c r="AS5" s="28">
        <v>1</v>
      </c>
      <c r="AT5" s="34">
        <f t="shared" si="21"/>
        <v>8</v>
      </c>
    </row>
    <row r="6" spans="1:46" x14ac:dyDescent="0.25">
      <c r="A6" s="22">
        <v>5</v>
      </c>
      <c r="B6" s="36">
        <v>44516.413888888892</v>
      </c>
      <c r="C6" s="37" t="s">
        <v>69</v>
      </c>
      <c r="D6" s="37" t="s">
        <v>70</v>
      </c>
      <c r="E6" s="38">
        <v>328027</v>
      </c>
      <c r="F6" s="25">
        <f t="shared" si="0"/>
        <v>3</v>
      </c>
      <c r="G6" s="25">
        <f t="shared" si="1"/>
        <v>2</v>
      </c>
      <c r="H6" s="25">
        <f t="shared" si="2"/>
        <v>8</v>
      </c>
      <c r="I6" s="25">
        <f t="shared" si="3"/>
        <v>0</v>
      </c>
      <c r="J6" s="25">
        <f t="shared" si="4"/>
        <v>2</v>
      </c>
      <c r="K6" s="25">
        <f t="shared" si="5"/>
        <v>7</v>
      </c>
      <c r="L6" s="37" t="s">
        <v>55</v>
      </c>
      <c r="M6" s="27">
        <f t="shared" si="6"/>
        <v>0</v>
      </c>
      <c r="N6" s="27">
        <f t="shared" si="7"/>
        <v>1</v>
      </c>
      <c r="O6" s="27">
        <f t="shared" si="8"/>
        <v>0</v>
      </c>
      <c r="P6" s="27">
        <f t="shared" si="9"/>
        <v>0</v>
      </c>
      <c r="Q6" s="27">
        <f t="shared" si="10"/>
        <v>0</v>
      </c>
      <c r="R6" s="27">
        <f t="shared" si="11"/>
        <v>-1</v>
      </c>
      <c r="S6" s="37" t="s">
        <v>56</v>
      </c>
      <c r="T6" s="27">
        <f t="shared" si="12"/>
        <v>0</v>
      </c>
      <c r="U6" s="27">
        <f t="shared" si="13"/>
        <v>0</v>
      </c>
      <c r="V6" s="27">
        <f t="shared" si="14"/>
        <v>1</v>
      </c>
      <c r="W6" s="27">
        <f t="shared" si="15"/>
        <v>0</v>
      </c>
      <c r="X6" s="27">
        <f t="shared" si="16"/>
        <v>0</v>
      </c>
      <c r="Y6" s="27">
        <f t="shared" si="17"/>
        <v>1</v>
      </c>
      <c r="Z6" s="37" t="s">
        <v>50</v>
      </c>
      <c r="AA6" s="28">
        <v>1</v>
      </c>
      <c r="AB6" s="37" t="s">
        <v>57</v>
      </c>
      <c r="AC6" s="30">
        <v>0</v>
      </c>
      <c r="AD6" s="31" t="s">
        <v>86</v>
      </c>
      <c r="AE6" s="27">
        <v>2</v>
      </c>
      <c r="AF6" s="37" t="s">
        <v>71</v>
      </c>
      <c r="AG6" s="30">
        <f t="shared" si="22"/>
        <v>8.842534171320823</v>
      </c>
      <c r="AH6" s="31" t="s">
        <v>89</v>
      </c>
      <c r="AI6" s="27">
        <v>1</v>
      </c>
      <c r="AJ6" s="40">
        <v>11</v>
      </c>
      <c r="AK6" s="32">
        <f t="shared" si="18"/>
        <v>527999</v>
      </c>
      <c r="AL6" s="27">
        <v>0</v>
      </c>
      <c r="AM6" s="37" t="s">
        <v>72</v>
      </c>
      <c r="AN6" s="30">
        <f t="shared" si="19"/>
        <v>39.066132406107229</v>
      </c>
      <c r="AO6" s="31" t="s">
        <v>86</v>
      </c>
      <c r="AP6" s="27">
        <v>2</v>
      </c>
      <c r="AQ6" s="40">
        <v>0.69</v>
      </c>
      <c r="AR6" s="30">
        <f t="shared" si="20"/>
        <v>0.69</v>
      </c>
      <c r="AS6" s="28">
        <v>1</v>
      </c>
      <c r="AT6" s="34">
        <f t="shared" si="21"/>
        <v>9</v>
      </c>
    </row>
    <row r="7" spans="1:46" x14ac:dyDescent="0.25">
      <c r="A7" s="22">
        <v>6</v>
      </c>
      <c r="B7" s="36">
        <v>44516.414965277778</v>
      </c>
      <c r="C7" s="37" t="s">
        <v>73</v>
      </c>
      <c r="D7" s="37" t="s">
        <v>74</v>
      </c>
      <c r="E7" s="38">
        <v>329845</v>
      </c>
      <c r="F7" s="25">
        <f t="shared" si="0"/>
        <v>3</v>
      </c>
      <c r="G7" s="25">
        <f t="shared" si="1"/>
        <v>2</v>
      </c>
      <c r="H7" s="25">
        <f t="shared" si="2"/>
        <v>9</v>
      </c>
      <c r="I7" s="25">
        <f t="shared" si="3"/>
        <v>8</v>
      </c>
      <c r="J7" s="25">
        <f t="shared" si="4"/>
        <v>4</v>
      </c>
      <c r="K7" s="25">
        <f t="shared" si="5"/>
        <v>5</v>
      </c>
      <c r="L7" s="37" t="s">
        <v>55</v>
      </c>
      <c r="M7" s="27">
        <f t="shared" si="6"/>
        <v>0</v>
      </c>
      <c r="N7" s="27">
        <f t="shared" si="7"/>
        <v>1</v>
      </c>
      <c r="O7" s="27">
        <f t="shared" si="8"/>
        <v>0</v>
      </c>
      <c r="P7" s="27">
        <f t="shared" si="9"/>
        <v>0</v>
      </c>
      <c r="Q7" s="27">
        <f t="shared" si="10"/>
        <v>0</v>
      </c>
      <c r="R7" s="27">
        <f t="shared" si="11"/>
        <v>-1</v>
      </c>
      <c r="S7" s="37" t="s">
        <v>56</v>
      </c>
      <c r="T7" s="27">
        <f t="shared" si="12"/>
        <v>0</v>
      </c>
      <c r="U7" s="27">
        <f t="shared" si="13"/>
        <v>0</v>
      </c>
      <c r="V7" s="27">
        <f t="shared" si="14"/>
        <v>1</v>
      </c>
      <c r="W7" s="27">
        <f t="shared" si="15"/>
        <v>0</v>
      </c>
      <c r="X7" s="27">
        <f t="shared" si="16"/>
        <v>0</v>
      </c>
      <c r="Y7" s="27">
        <f t="shared" si="17"/>
        <v>1</v>
      </c>
      <c r="Z7" s="37" t="s">
        <v>50</v>
      </c>
      <c r="AA7" s="28">
        <v>1</v>
      </c>
      <c r="AB7" s="37" t="s">
        <v>57</v>
      </c>
      <c r="AC7" s="30">
        <v>0</v>
      </c>
      <c r="AD7" s="31" t="s">
        <v>86</v>
      </c>
      <c r="AE7" s="27">
        <v>2</v>
      </c>
      <c r="AF7" s="37" t="s">
        <v>75</v>
      </c>
      <c r="AG7" s="30">
        <f t="shared" si="22"/>
        <v>10.227242683572317</v>
      </c>
      <c r="AH7" s="31" t="s">
        <v>89</v>
      </c>
      <c r="AI7" s="27">
        <v>1</v>
      </c>
      <c r="AJ7" s="40">
        <v>431999</v>
      </c>
      <c r="AK7" s="32">
        <f t="shared" si="18"/>
        <v>431999</v>
      </c>
      <c r="AL7" s="27">
        <v>1</v>
      </c>
      <c r="AM7" s="37" t="s">
        <v>76</v>
      </c>
      <c r="AN7" s="30">
        <f t="shared" si="19"/>
        <v>39.735018448790328</v>
      </c>
      <c r="AO7" s="31" t="s">
        <v>86</v>
      </c>
      <c r="AP7" s="27">
        <v>2</v>
      </c>
      <c r="AQ7" s="40">
        <v>0.69</v>
      </c>
      <c r="AR7" s="30">
        <f t="shared" si="20"/>
        <v>0.69</v>
      </c>
      <c r="AS7" s="28">
        <v>1</v>
      </c>
      <c r="AT7" s="34">
        <f t="shared" si="21"/>
        <v>10</v>
      </c>
    </row>
    <row r="8" spans="1:46" x14ac:dyDescent="0.25">
      <c r="A8" s="22">
        <v>7</v>
      </c>
      <c r="B8" s="36">
        <v>44516.415729166663</v>
      </c>
      <c r="C8" s="37" t="s">
        <v>77</v>
      </c>
      <c r="D8" s="37" t="s">
        <v>78</v>
      </c>
      <c r="E8" s="38">
        <v>325758</v>
      </c>
      <c r="F8" s="25">
        <f t="shared" si="0"/>
        <v>3</v>
      </c>
      <c r="G8" s="25">
        <f t="shared" si="1"/>
        <v>2</v>
      </c>
      <c r="H8" s="25">
        <f t="shared" si="2"/>
        <v>5</v>
      </c>
      <c r="I8" s="25">
        <f t="shared" si="3"/>
        <v>7</v>
      </c>
      <c r="J8" s="25">
        <f t="shared" si="4"/>
        <v>5</v>
      </c>
      <c r="K8" s="25">
        <f t="shared" si="5"/>
        <v>8</v>
      </c>
      <c r="L8" s="37" t="s">
        <v>55</v>
      </c>
      <c r="M8" s="27">
        <f t="shared" si="6"/>
        <v>0</v>
      </c>
      <c r="N8" s="27">
        <f t="shared" si="7"/>
        <v>1</v>
      </c>
      <c r="O8" s="27">
        <f t="shared" si="8"/>
        <v>0</v>
      </c>
      <c r="P8" s="27">
        <f t="shared" si="9"/>
        <v>0</v>
      </c>
      <c r="Q8" s="27">
        <f t="shared" si="10"/>
        <v>0</v>
      </c>
      <c r="R8" s="27">
        <f t="shared" si="11"/>
        <v>-1</v>
      </c>
      <c r="S8" s="37" t="s">
        <v>56</v>
      </c>
      <c r="T8" s="27">
        <f t="shared" si="12"/>
        <v>0</v>
      </c>
      <c r="U8" s="27">
        <f t="shared" si="13"/>
        <v>0</v>
      </c>
      <c r="V8" s="27">
        <f t="shared" si="14"/>
        <v>1</v>
      </c>
      <c r="W8" s="27">
        <f t="shared" si="15"/>
        <v>0</v>
      </c>
      <c r="X8" s="27">
        <f t="shared" si="16"/>
        <v>0</v>
      </c>
      <c r="Y8" s="27">
        <f t="shared" si="17"/>
        <v>1</v>
      </c>
      <c r="Z8" s="37" t="s">
        <v>50</v>
      </c>
      <c r="AA8" s="28">
        <v>1</v>
      </c>
      <c r="AB8" s="37" t="s">
        <v>57</v>
      </c>
      <c r="AC8" s="30">
        <v>0</v>
      </c>
      <c r="AD8" s="31" t="s">
        <v>86</v>
      </c>
      <c r="AE8" s="27">
        <v>2</v>
      </c>
      <c r="AF8" s="37" t="s">
        <v>79</v>
      </c>
      <c r="AG8" s="30">
        <f t="shared" si="22"/>
        <v>11.944944808344465</v>
      </c>
      <c r="AH8" s="31" t="s">
        <v>89</v>
      </c>
      <c r="AI8" s="27">
        <v>1</v>
      </c>
      <c r="AJ8" s="40">
        <v>575999</v>
      </c>
      <c r="AK8" s="32">
        <f t="shared" si="18"/>
        <v>575999</v>
      </c>
      <c r="AL8" s="27">
        <v>1</v>
      </c>
      <c r="AM8" s="37" t="s">
        <v>80</v>
      </c>
      <c r="AN8" s="30">
        <f t="shared" si="19"/>
        <v>38.997719120464794</v>
      </c>
      <c r="AO8" s="31" t="s">
        <v>86</v>
      </c>
      <c r="AP8" s="27">
        <v>2</v>
      </c>
      <c r="AQ8" s="40">
        <v>0.73</v>
      </c>
      <c r="AR8" s="30">
        <f t="shared" si="20"/>
        <v>0.73</v>
      </c>
      <c r="AS8" s="28">
        <v>1</v>
      </c>
      <c r="AT8" s="34">
        <f t="shared" si="21"/>
        <v>10</v>
      </c>
    </row>
    <row r="9" spans="1:46" ht="15.75" thickBot="1" x14ac:dyDescent="0.3">
      <c r="A9" s="23">
        <v>8</v>
      </c>
      <c r="B9" s="42">
        <v>44516.416481481479</v>
      </c>
      <c r="C9" s="43" t="s">
        <v>81</v>
      </c>
      <c r="D9" s="43" t="s">
        <v>82</v>
      </c>
      <c r="E9" s="44">
        <v>322683</v>
      </c>
      <c r="F9" s="26">
        <f t="shared" si="0"/>
        <v>3</v>
      </c>
      <c r="G9" s="26">
        <f t="shared" si="1"/>
        <v>2</v>
      </c>
      <c r="H9" s="26">
        <f t="shared" si="2"/>
        <v>2</v>
      </c>
      <c r="I9" s="26">
        <f t="shared" si="3"/>
        <v>6</v>
      </c>
      <c r="J9" s="26">
        <f t="shared" si="4"/>
        <v>8</v>
      </c>
      <c r="K9" s="26">
        <f t="shared" si="5"/>
        <v>3</v>
      </c>
      <c r="L9" s="43" t="s">
        <v>55</v>
      </c>
      <c r="M9" s="11">
        <f t="shared" si="6"/>
        <v>0</v>
      </c>
      <c r="N9" s="11">
        <f t="shared" si="7"/>
        <v>1</v>
      </c>
      <c r="O9" s="11">
        <f t="shared" si="8"/>
        <v>0</v>
      </c>
      <c r="P9" s="11">
        <f t="shared" si="9"/>
        <v>0</v>
      </c>
      <c r="Q9" s="11">
        <f t="shared" si="10"/>
        <v>0</v>
      </c>
      <c r="R9" s="11">
        <f t="shared" si="11"/>
        <v>-1</v>
      </c>
      <c r="S9" s="43" t="s">
        <v>66</v>
      </c>
      <c r="T9" s="11">
        <f t="shared" si="12"/>
        <v>0</v>
      </c>
      <c r="U9" s="11">
        <f t="shared" si="13"/>
        <v>0</v>
      </c>
      <c r="V9" s="11">
        <f t="shared" si="14"/>
        <v>1</v>
      </c>
      <c r="W9" s="11">
        <f t="shared" si="15"/>
        <v>0</v>
      </c>
      <c r="X9" s="11">
        <f t="shared" si="16"/>
        <v>0</v>
      </c>
      <c r="Y9" s="11">
        <f t="shared" si="17"/>
        <v>0</v>
      </c>
      <c r="Z9" s="43" t="s">
        <v>50</v>
      </c>
      <c r="AA9" s="45">
        <v>1</v>
      </c>
      <c r="AB9" s="43" t="s">
        <v>57</v>
      </c>
      <c r="AC9" s="46">
        <v>0</v>
      </c>
      <c r="AD9" s="47" t="s">
        <v>86</v>
      </c>
      <c r="AE9" s="11">
        <v>2</v>
      </c>
      <c r="AF9" s="43" t="s">
        <v>83</v>
      </c>
      <c r="AG9" s="46">
        <f t="shared" si="22"/>
        <v>11.216809362590851</v>
      </c>
      <c r="AH9" s="47" t="s">
        <v>89</v>
      </c>
      <c r="AI9" s="11">
        <v>1</v>
      </c>
      <c r="AJ9" s="43" t="s">
        <v>84</v>
      </c>
      <c r="AK9" s="48">
        <f>(4+K9)*48000-1</f>
        <v>335999</v>
      </c>
      <c r="AL9" s="11">
        <v>0</v>
      </c>
      <c r="AM9" s="43" t="s">
        <v>85</v>
      </c>
      <c r="AN9" s="46">
        <f t="shared" si="19"/>
        <v>37.283167449262365</v>
      </c>
      <c r="AO9" s="47" t="s">
        <v>86</v>
      </c>
      <c r="AP9" s="11">
        <v>2</v>
      </c>
      <c r="AQ9" s="49">
        <v>0.71</v>
      </c>
      <c r="AR9" s="46">
        <f t="shared" si="20"/>
        <v>0.71</v>
      </c>
      <c r="AS9" s="45">
        <v>1</v>
      </c>
      <c r="AT9" s="35">
        <f t="shared" si="21"/>
        <v>8</v>
      </c>
    </row>
  </sheetData>
  <conditionalFormatting sqref="M2:R9">
    <cfRule type="aboveAverage" dxfId="23" priority="44" aboveAverage="0"/>
    <cfRule type="aboveAverage" dxfId="22" priority="45"/>
  </conditionalFormatting>
  <conditionalFormatting sqref="M2:R9">
    <cfRule type="cellIs" dxfId="21" priority="43" operator="equal">
      <formula>0</formula>
    </cfRule>
  </conditionalFormatting>
  <conditionalFormatting sqref="T2:Y9">
    <cfRule type="aboveAverage" dxfId="20" priority="41" aboveAverage="0"/>
    <cfRule type="aboveAverage" dxfId="19" priority="42"/>
  </conditionalFormatting>
  <conditionalFormatting sqref="T2:Y9">
    <cfRule type="cellIs" dxfId="18" priority="40" operator="equal">
      <formula>0</formula>
    </cfRule>
  </conditionalFormatting>
  <conditionalFormatting sqref="AA2:AA9">
    <cfRule type="cellIs" dxfId="17" priority="28" operator="equal">
      <formula>0</formula>
    </cfRule>
  </conditionalFormatting>
  <conditionalFormatting sqref="AA2:AA9">
    <cfRule type="aboveAverage" dxfId="16" priority="29" aboveAverage="0"/>
    <cfRule type="aboveAverage" dxfId="15" priority="30"/>
  </conditionalFormatting>
  <conditionalFormatting sqref="AE2:AE9">
    <cfRule type="cellIs" dxfId="14" priority="26" operator="equal">
      <formula>0</formula>
    </cfRule>
    <cfRule type="cellIs" dxfId="13" priority="27" operator="equal">
      <formula>2</formula>
    </cfRule>
  </conditionalFormatting>
  <conditionalFormatting sqref="AE2:AE9">
    <cfRule type="cellIs" dxfId="12" priority="25" operator="equal">
      <formula>1</formula>
    </cfRule>
  </conditionalFormatting>
  <conditionalFormatting sqref="AI2:AI9">
    <cfRule type="cellIs" dxfId="11" priority="23" operator="equal">
      <formula>0</formula>
    </cfRule>
    <cfRule type="cellIs" dxfId="10" priority="24" operator="equal">
      <formula>2</formula>
    </cfRule>
  </conditionalFormatting>
  <conditionalFormatting sqref="AI2:AI9">
    <cfRule type="cellIs" dxfId="9" priority="22" operator="equal">
      <formula>1</formula>
    </cfRule>
  </conditionalFormatting>
  <conditionalFormatting sqref="AP2:AP9">
    <cfRule type="cellIs" dxfId="8" priority="14" operator="equal">
      <formula>0</formula>
    </cfRule>
    <cfRule type="cellIs" dxfId="7" priority="15" operator="equal">
      <formula>2</formula>
    </cfRule>
  </conditionalFormatting>
  <conditionalFormatting sqref="AP2:AP9">
    <cfRule type="cellIs" dxfId="6" priority="13" operator="equal">
      <formula>1</formula>
    </cfRule>
  </conditionalFormatting>
  <conditionalFormatting sqref="AL2:AL9">
    <cfRule type="aboveAverage" dxfId="5" priority="17" aboveAverage="0"/>
    <cfRule type="aboveAverage" dxfId="4" priority="18"/>
  </conditionalFormatting>
  <conditionalFormatting sqref="AL2:AL9">
    <cfRule type="cellIs" dxfId="3" priority="16" operator="equal">
      <formula>0</formula>
    </cfRule>
  </conditionalFormatting>
  <conditionalFormatting sqref="AS2:AS9">
    <cfRule type="aboveAverage" dxfId="2" priority="2" aboveAverage="0"/>
    <cfRule type="aboveAverage" dxfId="1" priority="3"/>
  </conditionalFormatting>
  <conditionalFormatting sqref="AS2:AS9">
    <cfRule type="cellIs" dxfId="0" priority="1" operator="equal">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Solution</vt:lpstr>
      <vt:lpstr>Responses</vt:lpstr>
      <vt:lpstr>A</vt:lpstr>
      <vt:lpstr>B</vt:lpstr>
      <vt:lpstr>CC</vt:lpstr>
      <vt:lpstr>D</vt:lpstr>
      <vt:lpstr>E</vt:lpstr>
      <vt:lpstr>f</vt:lpstr>
      <vt:lpstr>FF</vt:lpstr>
      <vt:lpstr>Sigma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Farina</dc:creator>
  <cp:lastModifiedBy>Angelo Farina</cp:lastModifiedBy>
  <dcterms:created xsi:type="dcterms:W3CDTF">2021-11-16T08:53:13Z</dcterms:created>
  <dcterms:modified xsi:type="dcterms:W3CDTF">2021-11-21T17:10:47Z</dcterms:modified>
</cp:coreProperties>
</file>