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rina\Corsi\Applied-Acoustics\Tests-2021\"/>
    </mc:Choice>
  </mc:AlternateContent>
  <xr:revisionPtr revIDLastSave="0" documentId="13_ncr:1_{29ADCD34-FE0B-4AB0-BB1F-900D2A70783E}" xr6:coauthVersionLast="47" xr6:coauthVersionMax="47" xr10:uidLastSave="{00000000-0000-0000-0000-000000000000}"/>
  <bookViews>
    <workbookView xWindow="15030" yWindow="-21720" windowWidth="38640" windowHeight="21840" xr2:uid="{2DA95A4F-392E-4588-BBC3-7A0770C9A246}"/>
  </bookViews>
  <sheets>
    <sheet name="Solution" sheetId="1" r:id="rId1"/>
    <sheet name="Test-2021-10-11" sheetId="2" r:id="rId2"/>
  </sheets>
  <definedNames>
    <definedName name="Lp_1">Solution!$B$42</definedName>
    <definedName name="Lp_2">Solution!$E$42</definedName>
    <definedName name="SPL">Solution!$B$33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9" i="2" l="1"/>
  <c r="AW3" i="2"/>
  <c r="AW4" i="2"/>
  <c r="AW5" i="2"/>
  <c r="AW6" i="2"/>
  <c r="AW7" i="2"/>
  <c r="AW8" i="2"/>
  <c r="AW2" i="2"/>
  <c r="AT3" i="2"/>
  <c r="AT4" i="2"/>
  <c r="AT5" i="2"/>
  <c r="AT6" i="2"/>
  <c r="AT7" i="2"/>
  <c r="AT8" i="2"/>
  <c r="AT9" i="2"/>
  <c r="AT2" i="2"/>
  <c r="AP2" i="2"/>
  <c r="AP4" i="2"/>
  <c r="AP5" i="2"/>
  <c r="AP6" i="2"/>
  <c r="AP7" i="2"/>
  <c r="AP8" i="2"/>
  <c r="AP9" i="2"/>
  <c r="AP3" i="2"/>
  <c r="F3" i="2"/>
  <c r="G3" i="2" s="1"/>
  <c r="F4" i="2"/>
  <c r="G4" i="2" s="1"/>
  <c r="F5" i="2"/>
  <c r="F6" i="2"/>
  <c r="G6" i="2" s="1"/>
  <c r="H6" i="2" s="1"/>
  <c r="F7" i="2"/>
  <c r="G7" i="2" s="1"/>
  <c r="F8" i="2"/>
  <c r="G8" i="2" s="1"/>
  <c r="F9" i="2"/>
  <c r="G9" i="2" s="1"/>
  <c r="G2" i="2"/>
  <c r="F2" i="2"/>
  <c r="U3" i="2"/>
  <c r="V3" i="2"/>
  <c r="W3" i="2"/>
  <c r="X3" i="2"/>
  <c r="Y3" i="2"/>
  <c r="Z3" i="2"/>
  <c r="U4" i="2"/>
  <c r="V4" i="2"/>
  <c r="W4" i="2"/>
  <c r="X4" i="2"/>
  <c r="Y4" i="2"/>
  <c r="Z4" i="2"/>
  <c r="U5" i="2"/>
  <c r="V5" i="2"/>
  <c r="W5" i="2"/>
  <c r="X5" i="2"/>
  <c r="Y5" i="2"/>
  <c r="Z5" i="2"/>
  <c r="U6" i="2"/>
  <c r="V6" i="2"/>
  <c r="W6" i="2"/>
  <c r="X6" i="2"/>
  <c r="Y6" i="2"/>
  <c r="Z6" i="2"/>
  <c r="U7" i="2"/>
  <c r="V7" i="2"/>
  <c r="W7" i="2"/>
  <c r="X7" i="2"/>
  <c r="Y7" i="2"/>
  <c r="Z7" i="2"/>
  <c r="U8" i="2"/>
  <c r="V8" i="2"/>
  <c r="W8" i="2"/>
  <c r="X8" i="2"/>
  <c r="Y8" i="2"/>
  <c r="Z8" i="2"/>
  <c r="U9" i="2"/>
  <c r="V9" i="2"/>
  <c r="W9" i="2"/>
  <c r="X9" i="2"/>
  <c r="Y9" i="2"/>
  <c r="Z9" i="2"/>
  <c r="Z2" i="2"/>
  <c r="Y2" i="2"/>
  <c r="X2" i="2"/>
  <c r="W2" i="2"/>
  <c r="V2" i="2"/>
  <c r="U2" i="2"/>
  <c r="M3" i="2"/>
  <c r="N3" i="2"/>
  <c r="O3" i="2"/>
  <c r="P3" i="2"/>
  <c r="Q3" i="2"/>
  <c r="R3" i="2"/>
  <c r="S3" i="2"/>
  <c r="M4" i="2"/>
  <c r="N4" i="2"/>
  <c r="O4" i="2"/>
  <c r="P4" i="2"/>
  <c r="Q4" i="2"/>
  <c r="R4" i="2"/>
  <c r="S4" i="2"/>
  <c r="M5" i="2"/>
  <c r="N5" i="2"/>
  <c r="O5" i="2"/>
  <c r="P5" i="2"/>
  <c r="Q5" i="2"/>
  <c r="R5" i="2"/>
  <c r="S5" i="2"/>
  <c r="M6" i="2"/>
  <c r="N6" i="2"/>
  <c r="O6" i="2"/>
  <c r="P6" i="2"/>
  <c r="Q6" i="2"/>
  <c r="R6" i="2"/>
  <c r="S6" i="2"/>
  <c r="M7" i="2"/>
  <c r="N7" i="2"/>
  <c r="O7" i="2"/>
  <c r="P7" i="2"/>
  <c r="Q7" i="2"/>
  <c r="R7" i="2"/>
  <c r="S7" i="2"/>
  <c r="M8" i="2"/>
  <c r="N8" i="2"/>
  <c r="O8" i="2"/>
  <c r="P8" i="2"/>
  <c r="Q8" i="2"/>
  <c r="R8" i="2"/>
  <c r="S8" i="2"/>
  <c r="M9" i="2"/>
  <c r="N9" i="2"/>
  <c r="O9" i="2"/>
  <c r="P9" i="2"/>
  <c r="Q9" i="2"/>
  <c r="R9" i="2"/>
  <c r="S9" i="2"/>
  <c r="S2" i="2"/>
  <c r="R2" i="2"/>
  <c r="Q2" i="2"/>
  <c r="P2" i="2"/>
  <c r="O2" i="2"/>
  <c r="N2" i="2"/>
  <c r="M2" i="2"/>
  <c r="H8" i="2" l="1"/>
  <c r="H3" i="2"/>
  <c r="I3" i="2" s="1"/>
  <c r="G5" i="2"/>
  <c r="H7" i="2"/>
  <c r="H4" i="2"/>
  <c r="H9" i="2"/>
  <c r="I9" i="2" s="1"/>
  <c r="I6" i="2"/>
  <c r="I8" i="2"/>
  <c r="J8" i="2" s="1"/>
  <c r="H2" i="2"/>
  <c r="AH8" i="2" l="1"/>
  <c r="AL8" i="2"/>
  <c r="J9" i="2"/>
  <c r="AL9" i="2" s="1"/>
  <c r="I4" i="2"/>
  <c r="J4" i="2" s="1"/>
  <c r="K8" i="2"/>
  <c r="AD8" i="2" s="1"/>
  <c r="J6" i="2"/>
  <c r="AL6" i="2" s="1"/>
  <c r="J3" i="2"/>
  <c r="AL3" i="2" s="1"/>
  <c r="I7" i="2"/>
  <c r="H5" i="2"/>
  <c r="I2" i="2"/>
  <c r="AH4" i="2" l="1"/>
  <c r="AL4" i="2"/>
  <c r="K6" i="2"/>
  <c r="AD6" i="2" s="1"/>
  <c r="AH6" i="2"/>
  <c r="K3" i="2"/>
  <c r="AD3" i="2" s="1"/>
  <c r="AH3" i="2"/>
  <c r="K9" i="2"/>
  <c r="AD9" i="2" s="1"/>
  <c r="AH9" i="2"/>
  <c r="K4" i="2"/>
  <c r="AD4" i="2" s="1"/>
  <c r="I5" i="2"/>
  <c r="J5" i="2" s="1"/>
  <c r="J7" i="2"/>
  <c r="AL7" i="2" s="1"/>
  <c r="J2" i="2"/>
  <c r="AL2" i="2" s="1"/>
  <c r="AH5" i="2" l="1"/>
  <c r="AL5" i="2"/>
  <c r="K7" i="2"/>
  <c r="AD7" i="2" s="1"/>
  <c r="AH7" i="2"/>
  <c r="K2" i="2"/>
  <c r="AD2" i="2" s="1"/>
  <c r="AH2" i="2"/>
  <c r="K5" i="2"/>
  <c r="AD5" i="2" s="1"/>
  <c r="B56" i="1" l="1"/>
  <c r="B55" i="1"/>
  <c r="B57" i="1" s="1"/>
  <c r="F58" i="1" s="1"/>
  <c r="G48" i="1"/>
  <c r="G50" i="1" s="1"/>
  <c r="G51" i="1" s="1"/>
  <c r="F48" i="1"/>
  <c r="F50" i="1" s="1"/>
  <c r="F51" i="1" s="1"/>
  <c r="B48" i="1"/>
  <c r="B50" i="1" s="1"/>
  <c r="B51" i="1" s="1"/>
  <c r="E48" i="1"/>
  <c r="E50" i="1" s="1"/>
  <c r="E51" i="1" s="1"/>
  <c r="D48" i="1"/>
  <c r="D50" i="1" s="1"/>
  <c r="D51" i="1" s="1"/>
  <c r="C48" i="1"/>
  <c r="C50" i="1" s="1"/>
  <c r="C51" i="1" s="1"/>
  <c r="L42" i="1"/>
  <c r="E42" i="1"/>
  <c r="B42" i="1"/>
  <c r="B37" i="1"/>
  <c r="H37" i="1" s="1"/>
  <c r="B33" i="1"/>
  <c r="F33" i="1" s="1"/>
  <c r="H51" i="1" l="1"/>
  <c r="H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Angelo Farina</author>
  </authors>
  <commentList>
    <comment ref="AD2" authorId="0" shapeId="0" xr:uid="{DB49428F-EBAC-4A45-AFAC-F2C1A1D92C97}">
      <text>
        <r>
          <rPr>
            <b/>
            <sz val="9"/>
            <color indexed="81"/>
            <rFont val="Tahoma"/>
            <family val="2"/>
          </rPr>
          <t>Angelo Farina: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<sst xmlns="http://schemas.openxmlformats.org/spreadsheetml/2006/main" count="243" uniqueCount="152">
  <si>
    <t>Check the sentences you think are always TRUE</t>
  </si>
  <si>
    <t>(multiple answers allowed)</t>
  </si>
  <si>
    <r>
      <t>¨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The energy density level is always larger than the sound intensity level: L</t>
    </r>
    <r>
      <rPr>
        <vertAlign val="subscript"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&gt;L</t>
    </r>
    <r>
      <rPr>
        <vertAlign val="subscript"/>
        <sz val="11"/>
        <color theme="1"/>
        <rFont val="Calibri"/>
        <family val="2"/>
        <scheme val="minor"/>
      </rPr>
      <t>I</t>
    </r>
  </si>
  <si>
    <r>
      <t>¨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The values of the levels in dB of sound pressure, particle velocity, sound intensity and sound energy density are always the same: L</t>
    </r>
    <r>
      <rPr>
        <vertAlign val="subscript"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=L</t>
    </r>
    <r>
      <rPr>
        <vertAlign val="subscript"/>
        <sz val="11"/>
        <color theme="1"/>
        <rFont val="Calibri"/>
        <family val="2"/>
        <scheme val="minor"/>
      </rPr>
      <t>D</t>
    </r>
  </si>
  <si>
    <r>
      <t>¨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A value of the ratio I/Dc close to 0 means the sound field is strongly reverberant/reactive</t>
    </r>
  </si>
  <si>
    <r>
      <t>¨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A value of the ratio I/Dc close to 1 means the sound field is strongly reverberant/reactive</t>
    </r>
  </si>
  <si>
    <r>
      <t>¨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The sound speed in air is invariant (340 m/s)</t>
    </r>
  </si>
  <si>
    <r>
      <t>¨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The sound speed in air is variable, being proportional to the temperature</t>
    </r>
  </si>
  <si>
    <r>
      <t>¨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The sound speed in air is variable, proportional to the square root of temperature</t>
    </r>
  </si>
  <si>
    <t>The power of a source is quadruplicated. What effect do you expect?</t>
  </si>
  <si>
    <r>
      <t>¨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The sound power level of the source increases by 3 dB</t>
    </r>
  </si>
  <si>
    <r>
      <t>¨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The sound power level of the source increases by 6 dB</t>
    </r>
  </si>
  <si>
    <r>
      <t>¨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The sound power level of the source increases by 10 dB</t>
    </r>
  </si>
  <si>
    <r>
      <t>¨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The sound pressure level at the receiver increases by 3 dB</t>
    </r>
  </si>
  <si>
    <r>
      <t>¨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The sound pressure level at the receiver increases by 6 dB</t>
    </r>
  </si>
  <si>
    <r>
      <t>¨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The sound pressure level at the receiver increases by 10 dB</t>
    </r>
  </si>
  <si>
    <r>
      <t>What is the bandwidth (f</t>
    </r>
    <r>
      <rPr>
        <b/>
        <vertAlign val="subscript"/>
        <sz val="11"/>
        <color theme="1"/>
        <rFont val="Calibri"/>
        <family val="2"/>
        <scheme val="minor"/>
      </rPr>
      <t>hi</t>
    </r>
    <r>
      <rPr>
        <b/>
        <sz val="11"/>
        <color theme="1"/>
        <rFont val="Calibri"/>
        <family val="2"/>
        <scheme val="minor"/>
      </rPr>
      <t>-f</t>
    </r>
    <r>
      <rPr>
        <b/>
        <vertAlign val="subscript"/>
        <sz val="11"/>
        <color theme="1"/>
        <rFont val="Calibri"/>
        <family val="2"/>
        <scheme val="minor"/>
      </rPr>
      <t>lo</t>
    </r>
    <r>
      <rPr>
        <b/>
        <sz val="11"/>
        <color theme="1"/>
        <rFont val="Calibri"/>
        <family val="2"/>
        <scheme val="minor"/>
      </rPr>
      <t>) of the octave band filter centered at 4 kHz?</t>
    </r>
  </si>
  <si>
    <t>(a single answer)</t>
  </si>
  <si>
    <r>
      <t>¡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717 Hz</t>
    </r>
  </si>
  <si>
    <r>
      <t>¡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1000 Hz</t>
    </r>
  </si>
  <si>
    <r>
      <t>¡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1414 Hz</t>
    </r>
  </si>
  <si>
    <r>
      <t>¡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2000 Hz</t>
    </r>
  </si>
  <si>
    <r>
      <t>¡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2828 Hz</t>
    </r>
  </si>
  <si>
    <r>
      <t>¡</t>
    </r>
    <r>
      <rPr>
        <sz val="7"/>
        <color theme="1"/>
        <rFont val="Times New Roman"/>
        <family val="1"/>
      </rPr>
      <t xml:space="preserve">  </t>
    </r>
    <r>
      <rPr>
        <sz val="11"/>
        <color theme="1"/>
        <rFont val="Calibri"/>
        <family val="2"/>
        <scheme val="minor"/>
      </rPr>
      <t>4000 Hz</t>
    </r>
  </si>
  <si>
    <t>What's the sound pressure corresponding to a SPL = 110+F dB ?</t>
  </si>
  <si>
    <t>(write number and measurement unit)</t>
  </si>
  <si>
    <t>What’s the particle velocity level corresponding to v= 0.1+E/10 mm/s?</t>
  </si>
  <si>
    <t xml:space="preserve"> </t>
  </si>
  <si>
    <t xml:space="preserve">Compute the coherent sum of the sound pressure levels </t>
  </si>
  <si>
    <t xml:space="preserve">of 80+E and 80+D dB produced by two phase-matched sources </t>
  </si>
  <si>
    <t xml:space="preserve">The unweighted octave-band spectrum of a fan is given here below. </t>
  </si>
  <si>
    <t>Compute the SPL in dB(A)</t>
  </si>
  <si>
    <t>125 Hz</t>
  </si>
  <si>
    <t>250 Hz</t>
  </si>
  <si>
    <t>500 Hz</t>
  </si>
  <si>
    <t>1000 Hz</t>
  </si>
  <si>
    <t>2000 Hz</t>
  </si>
  <si>
    <t>4000 Hz</t>
  </si>
  <si>
    <t>Total - dB(A)</t>
  </si>
  <si>
    <t xml:space="preserve">The background noise in a room is 50+F dB(A). A sound source is switched on, and the total SPL increases by 2+E/5 dB(A). Compute the SPL of the second source alone. </t>
  </si>
  <si>
    <t>A</t>
  </si>
  <si>
    <t>B</t>
  </si>
  <si>
    <t>C</t>
  </si>
  <si>
    <t>D</t>
  </si>
  <si>
    <t>E</t>
  </si>
  <si>
    <t>F</t>
  </si>
  <si>
    <t>SPL =</t>
  </si>
  <si>
    <t>dB</t>
  </si>
  <si>
    <t>p=p0*10^(SPL/20) =</t>
  </si>
  <si>
    <t>SPL = 20*lofg10(p/p0) with p0=2E-5 Pa</t>
  </si>
  <si>
    <t>Pa</t>
  </si>
  <si>
    <t>v =</t>
  </si>
  <si>
    <t>mm/s</t>
  </si>
  <si>
    <t>Lv = 20*log10(v/v0) with v0=50E-9 m/s =</t>
  </si>
  <si>
    <t>Lp1 =</t>
  </si>
  <si>
    <t>Lp2 =</t>
  </si>
  <si>
    <t>Lptot = 20*log10(10^(Lp1/20)+10^(Lp2/20)) =</t>
  </si>
  <si>
    <t>Lp</t>
  </si>
  <si>
    <t>f (Hz)</t>
  </si>
  <si>
    <t>A-weight</t>
  </si>
  <si>
    <t>Lp(A)</t>
  </si>
  <si>
    <t>10^(Lp(A)/10)</t>
  </si>
  <si>
    <t>Lbackgnd =</t>
  </si>
  <si>
    <t>dB(A)</t>
  </si>
  <si>
    <t>Increase =</t>
  </si>
  <si>
    <t>Total SPL =</t>
  </si>
  <si>
    <t>Lsource = 10*log10(10^(SPLtot/10)-10^(Lbackgnd/10)) =</t>
  </si>
  <si>
    <t>50.75 dB(A)</t>
  </si>
  <si>
    <t>82.2 dB(A)</t>
  </si>
  <si>
    <t>93.53 dB</t>
  </si>
  <si>
    <t>84.08 m/s</t>
  </si>
  <si>
    <t>6.32 Pa</t>
  </si>
  <si>
    <t>2828 Hz</t>
  </si>
  <si>
    <t>The sound power level of the source increases by 6 dB;The sound pressure level at the receiver increases by 6 dB</t>
  </si>
  <si>
    <t>A value of the ratio I/Dc close to 0 means the sound field is strongly reverberant/reactive;The sound speed in air is variable, proportional to the square root of temperature</t>
  </si>
  <si>
    <t>Miccoli Leonardo</t>
  </si>
  <si>
    <t>leonardo.miccoli@studenti.unipr.it</t>
  </si>
  <si>
    <t>2021/10/11 9:41:13 am EET</t>
  </si>
  <si>
    <t>53.4 dB(A)</t>
  </si>
  <si>
    <t>81.3 dB(A)</t>
  </si>
  <si>
    <t>90.6 dB</t>
  </si>
  <si>
    <t>82.92 m/s</t>
  </si>
  <si>
    <t>8.93 Pa</t>
  </si>
  <si>
    <t>The sound power level of the source increases by 6 dB</t>
  </si>
  <si>
    <t>The sound speed in air is variable, proportional to the square root of temperature</t>
  </si>
  <si>
    <t>Maffoni Marco</t>
  </si>
  <si>
    <t>marco.maffoni@studenti.unipr.it</t>
  </si>
  <si>
    <t>2021/10/11 9:41:09 am EET</t>
  </si>
  <si>
    <t>57.9 dB(A)</t>
  </si>
  <si>
    <t>83.28 dB(A)</t>
  </si>
  <si>
    <t>92.07 dB</t>
  </si>
  <si>
    <t>81.58 dB</t>
  </si>
  <si>
    <t>15.88 Pa</t>
  </si>
  <si>
    <t>A value of the ratio I/Dc close to 1 means the sound field is strongly reverberant/reactive;The sound speed in air is variable, proportional to the square root of temperature</t>
  </si>
  <si>
    <t>Mazzara Natalia Teresa</t>
  </si>
  <si>
    <t>nataliateresa.mazzara@studenti.unipr.it</t>
  </si>
  <si>
    <t>2021/10/11 9:40:55 am EET</t>
  </si>
  <si>
    <t>52 dB</t>
  </si>
  <si>
    <t>93.5 dB(A)</t>
  </si>
  <si>
    <t>92.2 dB</t>
  </si>
  <si>
    <t>80 dB</t>
  </si>
  <si>
    <t>11.24 Pa</t>
  </si>
  <si>
    <t>Cobianchi Matteo</t>
  </si>
  <si>
    <t>matteo.cobianchi@studenti.unipr.it</t>
  </si>
  <si>
    <t>2021/10/11 9:40:40 am EET</t>
  </si>
  <si>
    <t>55.68 dB(A)</t>
  </si>
  <si>
    <t>87.08 dB</t>
  </si>
  <si>
    <t>75.56 m/s</t>
  </si>
  <si>
    <t>14.16 Pa</t>
  </si>
  <si>
    <t>Feher Francesco</t>
  </si>
  <si>
    <t>francesco.feher@studenti.unipr.it</t>
  </si>
  <si>
    <t>2021/10/11 9:40:19 am EET</t>
  </si>
  <si>
    <t>82.7 dB(A)</t>
  </si>
  <si>
    <t>92.5 dB</t>
  </si>
  <si>
    <t>142.9 dB</t>
  </si>
  <si>
    <t>134.15 dB</t>
  </si>
  <si>
    <t>Ambu Davide</t>
  </si>
  <si>
    <t>davide.ambu@studenti.unipr.it</t>
  </si>
  <si>
    <t>2021/10/11 9:39:33 am EET</t>
  </si>
  <si>
    <t>52.7 dB(A)</t>
  </si>
  <si>
    <t>82.4 dB(A)</t>
  </si>
  <si>
    <t>91.6 dB</t>
  </si>
  <si>
    <t>66 dB</t>
  </si>
  <si>
    <t>11.2468 Pa</t>
  </si>
  <si>
    <t>D'Agruma Felice</t>
  </si>
  <si>
    <t>felice.dagruma@studenti.unipr.it</t>
  </si>
  <si>
    <t>2021/10/11 9:39:26 am EET</t>
  </si>
  <si>
    <t>93 dB</t>
  </si>
  <si>
    <t>165,10 dB</t>
  </si>
  <si>
    <t>8,93 Pa</t>
  </si>
  <si>
    <t>The sound power level of the source increases by 6 dB;The sound pressure level at the receiver increases by 10 dB</t>
  </si>
  <si>
    <t>A value of the ratio I/Dc close to 0 means the sound field is strongly reverberant/reactive;The sound speed in air is variable, being proportional to the temperature</t>
  </si>
  <si>
    <t>Teodoro Giuseppe</t>
  </si>
  <si>
    <t>giuseppe.teodoro@studenti.unipr.it</t>
  </si>
  <si>
    <t>2021/10/11 9:38:04 am EET</t>
  </si>
  <si>
    <t>The unweighted octave-band spectrum of a fan is given here below. Compute the SPL in dB(A)</t>
  </si>
  <si>
    <t xml:space="preserve">Compute the coherent sum of the sound pressure levels of 80+E and 80+D dB produced by two phase-matched sources </t>
  </si>
  <si>
    <t>What's the sound pressure corresponding to an SPL of 110 + F dB ?</t>
  </si>
  <si>
    <t>What is the bandwidth (fhi-flo) of the octave band filter centered at 4 kHz?</t>
  </si>
  <si>
    <t>Check the sentences you think are TRUE</t>
  </si>
  <si>
    <t>Matricula</t>
  </si>
  <si>
    <t>Surname and Name</t>
  </si>
  <si>
    <t>Username</t>
  </si>
  <si>
    <t>Timestamp</t>
  </si>
  <si>
    <t>N.</t>
  </si>
  <si>
    <t>Solution of in class test - 11/10/2021</t>
  </si>
  <si>
    <t>Matricola</t>
  </si>
  <si>
    <t>What's the particle velocity level corresponding to v= 0.1+E/10 mm/s ?</t>
  </si>
  <si>
    <t>Score</t>
  </si>
  <si>
    <t>OK unit</t>
  </si>
  <si>
    <t>OK Value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</si>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</sst>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sz val="7"/>
      <color theme="1"/>
      <name val="Times New Roman"/>
      <family val="1"/>
    </font>
    <font>
      <vertAlign val="subscript"/>
      <sz val="11"/>
      <color theme="1"/>
      <name val="Calibri"/>
      <family val="2"/>
      <scheme val="minor"/>
    </font>
    <font>
      <b/>
      <sz val="5"/>
      <color theme="1"/>
      <name val="Calibri"/>
      <family val="2"/>
      <scheme val="minor"/>
    </font>
    <font>
      <sz val="5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FF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67955565050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2" borderId="2" xfId="0" applyFont="1" applyFill="1" applyBorder="1"/>
    <xf numFmtId="164" fontId="1" fillId="2" borderId="5" xfId="0" applyNumberFormat="1" applyFont="1" applyFill="1" applyBorder="1"/>
    <xf numFmtId="0" fontId="0" fillId="0" borderId="6" xfId="0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6" xfId="0" applyFont="1" applyBorder="1" applyAlignment="1">
      <alignment horizontal="center"/>
    </xf>
    <xf numFmtId="2" fontId="0" fillId="0" borderId="0" xfId="0" applyNumberFormat="1"/>
    <xf numFmtId="0" fontId="0" fillId="0" borderId="10" xfId="0" applyBorder="1" applyAlignment="1">
      <alignment horizontal="center"/>
    </xf>
    <xf numFmtId="0" fontId="0" fillId="0" borderId="6" xfId="0" applyBorder="1"/>
    <xf numFmtId="2" fontId="0" fillId="0" borderId="6" xfId="0" applyNumberFormat="1" applyBorder="1"/>
    <xf numFmtId="164" fontId="0" fillId="0" borderId="6" xfId="0" applyNumberFormat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8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3" xfId="0" applyNumberFormat="1" applyBorder="1"/>
    <xf numFmtId="164" fontId="0" fillId="0" borderId="13" xfId="0" applyNumberFormat="1" applyBorder="1"/>
    <xf numFmtId="0" fontId="0" fillId="3" borderId="8" xfId="0" applyFill="1" applyBorder="1" applyAlignment="1">
      <alignment horizontal="center"/>
    </xf>
    <xf numFmtId="0" fontId="0" fillId="3" borderId="7" xfId="0" applyFill="1" applyBorder="1"/>
    <xf numFmtId="0" fontId="9" fillId="3" borderId="7" xfId="0" applyFont="1" applyFill="1" applyBorder="1" applyAlignment="1">
      <alignment horizontal="center" wrapText="1"/>
    </xf>
    <xf numFmtId="0" fontId="0" fillId="3" borderId="7" xfId="0" applyFill="1" applyBorder="1" applyAlignment="1">
      <alignment horizontal="center"/>
    </xf>
    <xf numFmtId="0" fontId="0" fillId="3" borderId="7" xfId="0" applyFill="1" applyBorder="1" applyAlignment="1">
      <alignment horizontal="right"/>
    </xf>
    <xf numFmtId="0" fontId="1" fillId="3" borderId="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2" fillId="0" borderId="0" xfId="0" applyFont="1" applyAlignment="1">
      <alignment horizontal="left" vertical="center" indent="4"/>
    </xf>
    <xf numFmtId="0" fontId="2" fillId="2" borderId="0" xfId="0" applyFont="1" applyFill="1" applyAlignment="1">
      <alignment horizontal="left" vertical="center" indent="4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2" fontId="1" fillId="2" borderId="5" xfId="0" applyNumberFormat="1" applyFont="1" applyFill="1" applyBorder="1"/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</cellXfs>
  <cellStyles count="1">
    <cellStyle name="Normal" xfId="0" builtinId="0"/>
  </cellStyles>
  <dxfs count="28"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 val="0"/>
        <color theme="1"/>
      </font>
      <fill>
        <patternFill>
          <bgColor theme="0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DB7AF1-4D1B-4B06-BE82-5011A2F9450F}">
  <dimension ref="A1:M58"/>
  <sheetViews>
    <sheetView tabSelected="1" zoomScale="140" zoomScaleNormal="140" workbookViewId="0"/>
  </sheetViews>
  <sheetFormatPr defaultRowHeight="14.25" x14ac:dyDescent="0.45"/>
  <cols>
    <col min="1" max="1" width="13.33203125" customWidth="1"/>
    <col min="2" max="2" width="11.796875" bestFit="1" customWidth="1"/>
    <col min="8" max="8" width="11.796875" bestFit="1" customWidth="1"/>
  </cols>
  <sheetData>
    <row r="1" spans="1:12" ht="14.65" thickBot="1" x14ac:dyDescent="0.5">
      <c r="A1" s="5" t="s">
        <v>145</v>
      </c>
      <c r="G1" t="s">
        <v>146</v>
      </c>
    </row>
    <row r="2" spans="1:12" ht="14.65" thickBot="1" x14ac:dyDescent="0.5">
      <c r="G2" s="16" t="s">
        <v>40</v>
      </c>
      <c r="H2" s="16" t="s">
        <v>41</v>
      </c>
      <c r="I2" s="16" t="s">
        <v>42</v>
      </c>
      <c r="J2" s="16" t="s">
        <v>43</v>
      </c>
      <c r="K2" s="16" t="s">
        <v>44</v>
      </c>
      <c r="L2" s="16" t="s">
        <v>45</v>
      </c>
    </row>
    <row r="3" spans="1:12" ht="14.65" thickBot="1" x14ac:dyDescent="0.5">
      <c r="A3" s="2" t="s">
        <v>0</v>
      </c>
      <c r="G3" s="16">
        <v>1</v>
      </c>
      <c r="H3" s="16">
        <v>2</v>
      </c>
      <c r="I3" s="16">
        <v>3</v>
      </c>
      <c r="J3" s="16">
        <v>4</v>
      </c>
      <c r="K3" s="16">
        <v>5</v>
      </c>
      <c r="L3" s="16">
        <v>6</v>
      </c>
    </row>
    <row r="4" spans="1:12" x14ac:dyDescent="0.45">
      <c r="A4" s="1" t="s">
        <v>1</v>
      </c>
      <c r="E4" s="1"/>
    </row>
    <row r="5" spans="1:12" ht="15.75" x14ac:dyDescent="0.45">
      <c r="A5" s="38" t="s">
        <v>2</v>
      </c>
    </row>
    <row r="6" spans="1:12" ht="15.75" x14ac:dyDescent="0.45">
      <c r="A6" s="37" t="s">
        <v>3</v>
      </c>
    </row>
    <row r="7" spans="1:12" x14ac:dyDescent="0.45">
      <c r="A7" s="38" t="s">
        <v>4</v>
      </c>
    </row>
    <row r="8" spans="1:12" x14ac:dyDescent="0.45">
      <c r="A8" s="37" t="s">
        <v>5</v>
      </c>
    </row>
    <row r="9" spans="1:12" x14ac:dyDescent="0.45">
      <c r="A9" s="37" t="s">
        <v>6</v>
      </c>
    </row>
    <row r="10" spans="1:12" x14ac:dyDescent="0.45">
      <c r="A10" s="37" t="s">
        <v>7</v>
      </c>
    </row>
    <row r="11" spans="1:12" x14ac:dyDescent="0.45">
      <c r="A11" s="38" t="s">
        <v>8</v>
      </c>
    </row>
    <row r="12" spans="1:12" x14ac:dyDescent="0.45">
      <c r="A12" s="3"/>
    </row>
    <row r="13" spans="1:12" x14ac:dyDescent="0.45">
      <c r="A13" s="2" t="s">
        <v>9</v>
      </c>
    </row>
    <row r="14" spans="1:12" x14ac:dyDescent="0.45">
      <c r="A14" s="1" t="s">
        <v>1</v>
      </c>
      <c r="D14" s="1"/>
    </row>
    <row r="15" spans="1:12" x14ac:dyDescent="0.45">
      <c r="A15" s="37" t="s">
        <v>10</v>
      </c>
    </row>
    <row r="16" spans="1:12" x14ac:dyDescent="0.45">
      <c r="A16" s="38" t="s">
        <v>11</v>
      </c>
    </row>
    <row r="17" spans="1:7" x14ac:dyDescent="0.45">
      <c r="A17" s="37" t="s">
        <v>12</v>
      </c>
    </row>
    <row r="18" spans="1:7" x14ac:dyDescent="0.45">
      <c r="A18" s="37" t="s">
        <v>13</v>
      </c>
    </row>
    <row r="19" spans="1:7" x14ac:dyDescent="0.45">
      <c r="A19" s="38" t="s">
        <v>14</v>
      </c>
    </row>
    <row r="20" spans="1:7" x14ac:dyDescent="0.45">
      <c r="A20" s="37" t="s">
        <v>15</v>
      </c>
    </row>
    <row r="21" spans="1:7" x14ac:dyDescent="0.45">
      <c r="A21" s="4"/>
    </row>
    <row r="22" spans="1:7" ht="15.75" x14ac:dyDescent="0.45">
      <c r="A22" s="2" t="s">
        <v>16</v>
      </c>
    </row>
    <row r="23" spans="1:7" x14ac:dyDescent="0.45">
      <c r="A23" s="1" t="s">
        <v>17</v>
      </c>
      <c r="G23" s="1"/>
    </row>
    <row r="24" spans="1:7" x14ac:dyDescent="0.45">
      <c r="A24" s="37" t="s">
        <v>18</v>
      </c>
    </row>
    <row r="25" spans="1:7" x14ac:dyDescent="0.45">
      <c r="A25" s="37" t="s">
        <v>19</v>
      </c>
    </row>
    <row r="26" spans="1:7" x14ac:dyDescent="0.45">
      <c r="A26" s="37" t="s">
        <v>20</v>
      </c>
    </row>
    <row r="27" spans="1:7" x14ac:dyDescent="0.45">
      <c r="A27" s="37" t="s">
        <v>21</v>
      </c>
    </row>
    <row r="28" spans="1:7" x14ac:dyDescent="0.45">
      <c r="A28" s="38" t="s">
        <v>22</v>
      </c>
    </row>
    <row r="29" spans="1:7" x14ac:dyDescent="0.45">
      <c r="A29" s="37" t="s">
        <v>23</v>
      </c>
    </row>
    <row r="30" spans="1:7" x14ac:dyDescent="0.45">
      <c r="A30" s="3"/>
    </row>
    <row r="31" spans="1:7" x14ac:dyDescent="0.45">
      <c r="A31" s="2" t="s">
        <v>24</v>
      </c>
    </row>
    <row r="32" spans="1:7" ht="14.65" thickBot="1" x14ac:dyDescent="0.5">
      <c r="A32" s="1" t="s">
        <v>25</v>
      </c>
      <c r="G32" t="s">
        <v>49</v>
      </c>
    </row>
    <row r="33" spans="1:13" ht="14.65" thickBot="1" x14ac:dyDescent="0.5">
      <c r="A33" s="39" t="s">
        <v>46</v>
      </c>
      <c r="B33">
        <f>110+6</f>
        <v>116</v>
      </c>
      <c r="C33" t="s">
        <v>47</v>
      </c>
      <c r="E33" s="40" t="s">
        <v>48</v>
      </c>
      <c r="F33" s="41">
        <f>0.00002*10^(SPL/20)</f>
        <v>12.619146889603885</v>
      </c>
      <c r="G33" s="13" t="s">
        <v>50</v>
      </c>
    </row>
    <row r="34" spans="1:13" x14ac:dyDescent="0.45">
      <c r="A34" s="2"/>
    </row>
    <row r="35" spans="1:13" x14ac:dyDescent="0.45">
      <c r="A35" s="2" t="s">
        <v>26</v>
      </c>
    </row>
    <row r="36" spans="1:13" ht="14.65" thickBot="1" x14ac:dyDescent="0.5">
      <c r="A36" s="1" t="s">
        <v>25</v>
      </c>
    </row>
    <row r="37" spans="1:13" ht="14.65" thickBot="1" x14ac:dyDescent="0.5">
      <c r="A37" s="39" t="s">
        <v>51</v>
      </c>
      <c r="B37">
        <f>0.1+5/10</f>
        <v>0.6</v>
      </c>
      <c r="C37" t="s">
        <v>52</v>
      </c>
      <c r="G37" s="40" t="s">
        <v>53</v>
      </c>
      <c r="H37" s="14">
        <f>20*LOG10(B37/1000/0.00000005)</f>
        <v>81.583624920952502</v>
      </c>
      <c r="I37" s="13" t="s">
        <v>47</v>
      </c>
    </row>
    <row r="38" spans="1:13" x14ac:dyDescent="0.45">
      <c r="A38" s="1" t="s">
        <v>27</v>
      </c>
    </row>
    <row r="39" spans="1:13" x14ac:dyDescent="0.45">
      <c r="A39" s="2" t="s">
        <v>28</v>
      </c>
    </row>
    <row r="40" spans="1:13" x14ac:dyDescent="0.45">
      <c r="A40" s="2" t="s">
        <v>29</v>
      </c>
    </row>
    <row r="41" spans="1:13" ht="14.65" thickBot="1" x14ac:dyDescent="0.5">
      <c r="A41" s="1" t="s">
        <v>25</v>
      </c>
    </row>
    <row r="42" spans="1:13" ht="14.65" thickBot="1" x14ac:dyDescent="0.5">
      <c r="A42" s="39" t="s">
        <v>54</v>
      </c>
      <c r="B42">
        <f>80+5</f>
        <v>85</v>
      </c>
      <c r="C42" t="s">
        <v>47</v>
      </c>
      <c r="D42" s="40" t="s">
        <v>55</v>
      </c>
      <c r="E42">
        <f>80+4</f>
        <v>84</v>
      </c>
      <c r="F42" t="s">
        <v>47</v>
      </c>
      <c r="K42" s="40" t="s">
        <v>56</v>
      </c>
      <c r="L42" s="14">
        <f>20*LOG10(10^(Lp_1/20)+10^(Lp_2/20))</f>
        <v>90.534983129163749</v>
      </c>
      <c r="M42" s="13" t="s">
        <v>47</v>
      </c>
    </row>
    <row r="43" spans="1:13" x14ac:dyDescent="0.45">
      <c r="A43" s="1" t="s">
        <v>27</v>
      </c>
    </row>
    <row r="44" spans="1:13" x14ac:dyDescent="0.45">
      <c r="A44" s="2" t="s">
        <v>30</v>
      </c>
    </row>
    <row r="45" spans="1:13" x14ac:dyDescent="0.45">
      <c r="A45" s="2" t="s">
        <v>31</v>
      </c>
    </row>
    <row r="46" spans="1:13" ht="14.65" thickBot="1" x14ac:dyDescent="0.5">
      <c r="A46" s="1" t="s">
        <v>25</v>
      </c>
    </row>
    <row r="47" spans="1:13" ht="14.65" thickBot="1" x14ac:dyDescent="0.5">
      <c r="A47" s="42" t="s">
        <v>58</v>
      </c>
      <c r="B47" s="6" t="s">
        <v>32</v>
      </c>
      <c r="C47" s="7" t="s">
        <v>33</v>
      </c>
      <c r="D47" s="7" t="s">
        <v>34</v>
      </c>
      <c r="E47" s="7" t="s">
        <v>35</v>
      </c>
      <c r="F47" s="7" t="s">
        <v>36</v>
      </c>
      <c r="G47" s="7" t="s">
        <v>37</v>
      </c>
      <c r="H47" s="7" t="s">
        <v>38</v>
      </c>
    </row>
    <row r="48" spans="1:13" ht="14.65" thickBot="1" x14ac:dyDescent="0.5">
      <c r="A48" s="43" t="s">
        <v>57</v>
      </c>
      <c r="B48" s="8">
        <f>80+1</f>
        <v>81</v>
      </c>
      <c r="C48" s="9">
        <f>75+2</f>
        <v>77</v>
      </c>
      <c r="D48" s="9">
        <f>73+3</f>
        <v>76</v>
      </c>
      <c r="E48" s="9">
        <f>70+4</f>
        <v>74</v>
      </c>
      <c r="F48" s="9">
        <f>70+5</f>
        <v>75</v>
      </c>
      <c r="G48" s="9">
        <f>70+6</f>
        <v>76</v>
      </c>
      <c r="H48" s="11">
        <f>10*LOG10(H51)</f>
        <v>81.643163804952962</v>
      </c>
    </row>
    <row r="49" spans="1:8" ht="14.65" thickBot="1" x14ac:dyDescent="0.5">
      <c r="A49" s="10" t="s">
        <v>59</v>
      </c>
      <c r="B49" s="6">
        <v>-16.100000000000001</v>
      </c>
      <c r="C49" s="7">
        <v>-8.6</v>
      </c>
      <c r="D49" s="7">
        <v>-3.2</v>
      </c>
      <c r="E49" s="7">
        <v>0</v>
      </c>
      <c r="F49" s="7">
        <v>1.2</v>
      </c>
      <c r="G49" s="7">
        <v>1</v>
      </c>
      <c r="H49" s="7"/>
    </row>
    <row r="50" spans="1:8" ht="14.65" thickBot="1" x14ac:dyDescent="0.5">
      <c r="A50" s="10" t="s">
        <v>60</v>
      </c>
      <c r="B50" s="6">
        <f>B48+B49</f>
        <v>64.900000000000006</v>
      </c>
      <c r="C50" s="7">
        <f t="shared" ref="C50:G50" si="0">C48+C49</f>
        <v>68.400000000000006</v>
      </c>
      <c r="D50" s="7">
        <f t="shared" si="0"/>
        <v>72.8</v>
      </c>
      <c r="E50" s="7">
        <f t="shared" si="0"/>
        <v>74</v>
      </c>
      <c r="F50" s="7">
        <f t="shared" si="0"/>
        <v>76.2</v>
      </c>
      <c r="G50" s="7">
        <f t="shared" si="0"/>
        <v>77</v>
      </c>
      <c r="H50" s="7"/>
    </row>
    <row r="51" spans="1:8" ht="20.45" customHeight="1" thickBot="1" x14ac:dyDescent="0.5">
      <c r="A51" s="10" t="s">
        <v>61</v>
      </c>
      <c r="B51" s="6">
        <f>10^(B50/10)</f>
        <v>3090295.4325135965</v>
      </c>
      <c r="C51" s="7">
        <f t="shared" ref="C51:G51" si="1">10^(C50/10)</f>
        <v>6918309.7091893917</v>
      </c>
      <c r="D51" s="7">
        <f t="shared" si="1"/>
        <v>19054607.1796325</v>
      </c>
      <c r="E51" s="7">
        <f t="shared" si="1"/>
        <v>25118864.315095898</v>
      </c>
      <c r="F51" s="7">
        <f t="shared" si="1"/>
        <v>41686938.347033612</v>
      </c>
      <c r="G51" s="7">
        <f t="shared" si="1"/>
        <v>50118723.362727284</v>
      </c>
      <c r="H51" s="7">
        <f>SUM(B51:G51)</f>
        <v>145987738.34619227</v>
      </c>
    </row>
    <row r="52" spans="1:8" x14ac:dyDescent="0.45">
      <c r="D52" s="1"/>
    </row>
    <row r="53" spans="1:8" x14ac:dyDescent="0.45">
      <c r="A53" s="2" t="s">
        <v>39</v>
      </c>
    </row>
    <row r="54" spans="1:8" x14ac:dyDescent="0.45">
      <c r="A54" s="1" t="s">
        <v>25</v>
      </c>
    </row>
    <row r="55" spans="1:8" x14ac:dyDescent="0.45">
      <c r="A55" s="1" t="s">
        <v>62</v>
      </c>
      <c r="B55">
        <f>50+6</f>
        <v>56</v>
      </c>
      <c r="C55" t="s">
        <v>63</v>
      </c>
    </row>
    <row r="56" spans="1:8" x14ac:dyDescent="0.45">
      <c r="A56" s="1" t="s">
        <v>64</v>
      </c>
      <c r="B56">
        <f>2+5/5</f>
        <v>3</v>
      </c>
      <c r="C56" t="s">
        <v>63</v>
      </c>
    </row>
    <row r="57" spans="1:8" ht="14.65" thickBot="1" x14ac:dyDescent="0.5">
      <c r="A57" s="1" t="s">
        <v>65</v>
      </c>
      <c r="B57">
        <f>B55+B56</f>
        <v>59</v>
      </c>
      <c r="C57" t="s">
        <v>63</v>
      </c>
    </row>
    <row r="58" spans="1:8" ht="14.65" thickBot="1" x14ac:dyDescent="0.5">
      <c r="A58" s="2" t="s">
        <v>66</v>
      </c>
      <c r="F58" s="14">
        <f>10*LOG10(10^(B57/10)-10^(B55/10))</f>
        <v>55.97937560071702</v>
      </c>
      <c r="G58" s="13" t="s">
        <v>63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7E86F-6E31-4634-8500-3AD1EE9FACDE}">
  <dimension ref="A1:AW10"/>
  <sheetViews>
    <sheetView zoomScale="160" zoomScaleNormal="160" workbookViewId="0">
      <pane xSplit="4" ySplit="1" topLeftCell="E2" activePane="bottomRight" state="frozen"/>
      <selection pane="topRight" activeCell="E1" sqref="E1"/>
      <selection pane="bottomLeft" activeCell="A2" sqref="A2"/>
      <selection pane="bottomRight" activeCell="AW12" sqref="AW12"/>
    </sheetView>
  </sheetViews>
  <sheetFormatPr defaultRowHeight="14.25" x14ac:dyDescent="0.45"/>
  <cols>
    <col min="1" max="1" width="4" style="12" customWidth="1"/>
    <col min="2" max="2" width="10.33203125" customWidth="1"/>
    <col min="3" max="3" width="33.46484375" customWidth="1"/>
    <col min="4" max="4" width="20.06640625" customWidth="1"/>
    <col min="6" max="11" width="2.796875" customWidth="1"/>
    <col min="13" max="19" width="3.53125" customWidth="1"/>
    <col min="21" max="26" width="3.3984375" customWidth="1"/>
    <col min="28" max="28" width="5.265625" customWidth="1"/>
    <col min="29" max="29" width="9.59765625" customWidth="1"/>
    <col min="30" max="30" width="8.3984375" customWidth="1"/>
    <col min="31" max="31" width="6.53125" customWidth="1"/>
    <col min="32" max="32" width="5.796875" customWidth="1"/>
    <col min="34" max="34" width="8.46484375" customWidth="1"/>
    <col min="35" max="35" width="6.73046875" customWidth="1"/>
    <col min="36" max="36" width="5.73046875" customWidth="1"/>
    <col min="38" max="38" width="8.265625" customWidth="1"/>
    <col min="39" max="39" width="7.46484375" customWidth="1"/>
    <col min="40" max="40" width="5.796875" customWidth="1"/>
    <col min="43" max="43" width="6.86328125" customWidth="1"/>
    <col min="44" max="44" width="5.46484375" customWidth="1"/>
    <col min="45" max="45" width="10" customWidth="1"/>
    <col min="48" max="48" width="5.73046875" customWidth="1"/>
    <col min="49" max="49" width="7.59765625" customWidth="1"/>
  </cols>
  <sheetData>
    <row r="1" spans="1:49" x14ac:dyDescent="0.45">
      <c r="A1" s="29" t="s">
        <v>144</v>
      </c>
      <c r="B1" s="30" t="s">
        <v>143</v>
      </c>
      <c r="C1" s="30" t="s">
        <v>142</v>
      </c>
      <c r="D1" s="30" t="s">
        <v>141</v>
      </c>
      <c r="E1" s="30" t="s">
        <v>140</v>
      </c>
      <c r="F1" s="31" t="s">
        <v>40</v>
      </c>
      <c r="G1" s="31" t="s">
        <v>41</v>
      </c>
      <c r="H1" s="31" t="s">
        <v>42</v>
      </c>
      <c r="I1" s="31" t="s">
        <v>43</v>
      </c>
      <c r="J1" s="31" t="s">
        <v>44</v>
      </c>
      <c r="K1" s="31" t="s">
        <v>45</v>
      </c>
      <c r="L1" s="30" t="s">
        <v>139</v>
      </c>
      <c r="M1" s="32">
        <v>1</v>
      </c>
      <c r="N1" s="32">
        <v>-1</v>
      </c>
      <c r="O1" s="32">
        <v>1</v>
      </c>
      <c r="P1" s="32">
        <v>-1</v>
      </c>
      <c r="Q1" s="32">
        <v>-1</v>
      </c>
      <c r="R1" s="32">
        <v>-1</v>
      </c>
      <c r="S1" s="32">
        <v>1</v>
      </c>
      <c r="T1" s="30" t="s">
        <v>9</v>
      </c>
      <c r="U1" s="32">
        <v>-1</v>
      </c>
      <c r="V1" s="32">
        <v>1</v>
      </c>
      <c r="W1" s="32">
        <v>-1</v>
      </c>
      <c r="X1" s="32">
        <v>-1</v>
      </c>
      <c r="Y1" s="32">
        <v>1</v>
      </c>
      <c r="Z1" s="32">
        <v>-1</v>
      </c>
      <c r="AA1" s="30" t="s">
        <v>138</v>
      </c>
      <c r="AB1" s="30" t="s">
        <v>148</v>
      </c>
      <c r="AC1" s="30" t="s">
        <v>137</v>
      </c>
      <c r="AD1" s="33" t="s">
        <v>150</v>
      </c>
      <c r="AE1" s="30" t="s">
        <v>149</v>
      </c>
      <c r="AF1" s="32" t="s">
        <v>148</v>
      </c>
      <c r="AG1" s="30" t="s">
        <v>147</v>
      </c>
      <c r="AH1" s="33" t="s">
        <v>150</v>
      </c>
      <c r="AI1" s="30" t="s">
        <v>149</v>
      </c>
      <c r="AJ1" s="32" t="s">
        <v>148</v>
      </c>
      <c r="AK1" s="30" t="s">
        <v>136</v>
      </c>
      <c r="AL1" s="33" t="s">
        <v>150</v>
      </c>
      <c r="AM1" s="30" t="s">
        <v>149</v>
      </c>
      <c r="AN1" s="32" t="s">
        <v>148</v>
      </c>
      <c r="AO1" s="30" t="s">
        <v>135</v>
      </c>
      <c r="AP1" s="33" t="s">
        <v>150</v>
      </c>
      <c r="AQ1" s="30" t="s">
        <v>149</v>
      </c>
      <c r="AR1" s="32" t="s">
        <v>148</v>
      </c>
      <c r="AS1" s="30" t="s">
        <v>39</v>
      </c>
      <c r="AT1" s="33" t="s">
        <v>150</v>
      </c>
      <c r="AU1" s="30" t="s">
        <v>149</v>
      </c>
      <c r="AV1" s="32" t="s">
        <v>148</v>
      </c>
      <c r="AW1" s="34" t="s">
        <v>151</v>
      </c>
    </row>
    <row r="2" spans="1:49" x14ac:dyDescent="0.45">
      <c r="A2" s="19">
        <v>1</v>
      </c>
      <c r="B2" s="20" t="s">
        <v>134</v>
      </c>
      <c r="C2" s="20" t="s">
        <v>133</v>
      </c>
      <c r="D2" s="20" t="s">
        <v>132</v>
      </c>
      <c r="E2" s="20">
        <v>322683</v>
      </c>
      <c r="F2" s="17">
        <f t="shared" ref="F2:F9" si="0">INT(E2/100000)</f>
        <v>3</v>
      </c>
      <c r="G2" s="17">
        <f t="shared" ref="G2:G9" si="1">INT(($E2-100000*F2)/10000)</f>
        <v>2</v>
      </c>
      <c r="H2" s="17">
        <f t="shared" ref="H2" si="2">INT(($E2-100000*F2-10000*G2)/1000)</f>
        <v>2</v>
      </c>
      <c r="I2" s="17">
        <f t="shared" ref="I2:I9" si="3">INT(($E2-100000*$F2-10000*$G2-1000*$H2)/100)</f>
        <v>6</v>
      </c>
      <c r="J2" s="17">
        <f t="shared" ref="J2:J9" si="4">INT(($E2-100000*$F2-10000*$G2-1000*$H2-100*$I2)/10)</f>
        <v>8</v>
      </c>
      <c r="K2" s="17">
        <f t="shared" ref="K2:K9" si="5">INT(($E2-100000*$F2-10000*$G2-1000*$H2-100*$I2-10*$J2))</f>
        <v>3</v>
      </c>
      <c r="L2" s="20" t="s">
        <v>131</v>
      </c>
      <c r="M2" s="15">
        <f>IF(ISERROR(FIND("The energy density level is always larger than the sound intensity level: LD&gt;LIù",L2,1)),0,M$1)</f>
        <v>0</v>
      </c>
      <c r="N2" s="15">
        <f>IF(ISERROR(FIND("The values of the levels in dB of sound pressure, particle velocity, sound intensity and sound energy density are always the same: Lp=Lv=LI=LD",L2,1)),0,N$1)</f>
        <v>0</v>
      </c>
      <c r="O2" s="15">
        <f>IF(ISERROR(FIND("A value of the ratio I/Dc close to 0 means the sound field is strongly reverberant/reactive",L2,1)),0,O$1)</f>
        <v>1</v>
      </c>
      <c r="P2" s="15">
        <f>IF(ISERROR(FIND("A value of the ratio I/Dc close to 1 means the sound field is strongly reverberant/reactive",L2,1)),0,P$1)</f>
        <v>0</v>
      </c>
      <c r="Q2" s="15">
        <f>IF(ISERROR(FIND("The sound speed in air is invariant (340 m/s)",L2,1)),0,Q$1)</f>
        <v>0</v>
      </c>
      <c r="R2" s="15">
        <f>IF(ISERROR(FIND("The sound speed in air is variable, being proportional to the temperature",L2,1)),0,R$1)</f>
        <v>-1</v>
      </c>
      <c r="S2" s="15">
        <f>IF(ISERROR(FIND("The sound speed in air is variable, proportional to the square root of temperature",L2,1)),0,S$1)</f>
        <v>0</v>
      </c>
      <c r="T2" s="20" t="s">
        <v>130</v>
      </c>
      <c r="U2" s="15">
        <f>IF(ISERROR(FIND("The sound power level of the source increases by 3 dB",T2,1)),0,U$1)</f>
        <v>0</v>
      </c>
      <c r="V2" s="15">
        <f>IF(ISERROR(FIND("The sound power level of the source increases by 6 dB",T2,1)),0,V$1)</f>
        <v>1</v>
      </c>
      <c r="W2" s="15">
        <f>IF(ISERROR(FIND("The sound power level of the source increases by 10 dB",T2,1)),0,W$1)</f>
        <v>0</v>
      </c>
      <c r="X2" s="15">
        <f>IF(ISERROR(FIND("The sound pressure level at the receiver increases by 3 dB",T2,1)),0,X$1)</f>
        <v>0</v>
      </c>
      <c r="Y2" s="15">
        <f>IF(ISERROR(FIND("The sound pressure level at the receiver increases by 6 dB",T2,1)),0,Y$1)</f>
        <v>0</v>
      </c>
      <c r="Z2" s="15">
        <f>IF(ISERROR(FIND("The sound pressure level at the receiver increases by 3 dB",T2,1)),0,Z$1)</f>
        <v>0</v>
      </c>
      <c r="AA2" s="20" t="s">
        <v>72</v>
      </c>
      <c r="AB2" s="15">
        <v>1</v>
      </c>
      <c r="AC2" s="20" t="s">
        <v>129</v>
      </c>
      <c r="AD2" s="21">
        <f>0.00002*10^((110+K2)/20)</f>
        <v>8.9336718430192885</v>
      </c>
      <c r="AE2" s="20" t="s">
        <v>50</v>
      </c>
      <c r="AF2" s="15">
        <v>1</v>
      </c>
      <c r="AG2" s="20" t="s">
        <v>128</v>
      </c>
      <c r="AH2" s="22">
        <f>20*LOG10((0.1+J2/10)/0.00005)</f>
        <v>85.105450102066129</v>
      </c>
      <c r="AI2" s="20" t="s">
        <v>47</v>
      </c>
      <c r="AJ2" s="15">
        <v>1</v>
      </c>
      <c r="AK2" s="20" t="s">
        <v>127</v>
      </c>
      <c r="AL2" s="22">
        <f>20*LOG10(10^((80+J2)/20)+10^((80+I2)/20))</f>
        <v>93.078037820877341</v>
      </c>
      <c r="AM2" s="20" t="s">
        <v>47</v>
      </c>
      <c r="AN2" s="15">
        <v>2</v>
      </c>
      <c r="AO2" s="20"/>
      <c r="AP2" s="22">
        <f>10*LOG10(10^((80+F2-16.1)/10)+10^((75+G2-8.6)/10)+10^((73+H2-3.2)/10)+10^((70+I2-0)/10)+10^((70+J2+1.2)/10)+10^((70+K2+1)/10))</f>
        <v>82.43181140945552</v>
      </c>
      <c r="AQ2" s="20" t="s">
        <v>63</v>
      </c>
      <c r="AR2" s="15">
        <v>0</v>
      </c>
      <c r="AS2" s="20"/>
      <c r="AT2" s="22">
        <f>10*LOG10(10^((50+K2+2+J2/5)/10)-10^((50+K2)/10))</f>
        <v>54.108817181618328</v>
      </c>
      <c r="AU2" s="20" t="s">
        <v>63</v>
      </c>
      <c r="AV2" s="15">
        <v>0</v>
      </c>
      <c r="AW2" s="35">
        <f>SUM(M2:S2)+SUM(U2:Z2)+AB2+AF2+AJ2+AN2+AR2+AV2</f>
        <v>6</v>
      </c>
    </row>
    <row r="3" spans="1:49" x14ac:dyDescent="0.45">
      <c r="A3" s="19">
        <v>2</v>
      </c>
      <c r="B3" s="20" t="s">
        <v>126</v>
      </c>
      <c r="C3" s="20" t="s">
        <v>125</v>
      </c>
      <c r="D3" s="20" t="s">
        <v>124</v>
      </c>
      <c r="E3" s="20">
        <v>325905</v>
      </c>
      <c r="F3" s="17">
        <f t="shared" si="0"/>
        <v>3</v>
      </c>
      <c r="G3" s="17">
        <f t="shared" si="1"/>
        <v>2</v>
      </c>
      <c r="H3" s="17">
        <f t="shared" ref="H3:H9" si="6">INT(($E3-100000*F3-10000*G3)/1000)</f>
        <v>5</v>
      </c>
      <c r="I3" s="17">
        <f t="shared" si="3"/>
        <v>9</v>
      </c>
      <c r="J3" s="17">
        <f t="shared" si="4"/>
        <v>0</v>
      </c>
      <c r="K3" s="17">
        <f t="shared" si="5"/>
        <v>5</v>
      </c>
      <c r="L3" s="20" t="s">
        <v>74</v>
      </c>
      <c r="M3" s="15">
        <f t="shared" ref="M3:M9" si="7">IF(ISERROR(FIND("The energy density level is always larger than the sound intensity level: LD&gt;LIù",L3,1)),0,M$1)</f>
        <v>0</v>
      </c>
      <c r="N3" s="15">
        <f t="shared" ref="N3:N9" si="8">IF(ISERROR(FIND("The values of the levels in dB of sound pressure, particle velocity, sound intensity and sound energy density are always the same: Lp=Lv=LI=LD",L3,1)),0,N$1)</f>
        <v>0</v>
      </c>
      <c r="O3" s="15">
        <f t="shared" ref="O3:O9" si="9">IF(ISERROR(FIND("A value of the ratio I/Dc close to 0 means the sound field is strongly reverberant/reactive",L3,1)),0,O$1)</f>
        <v>1</v>
      </c>
      <c r="P3" s="15">
        <f t="shared" ref="P3:P9" si="10">IF(ISERROR(FIND("A value of the ratio I/Dc close to 1 means the sound field is strongly reverberant/reactive",L3,1)),0,P$1)</f>
        <v>0</v>
      </c>
      <c r="Q3" s="15">
        <f t="shared" ref="Q3:Q9" si="11">IF(ISERROR(FIND("The sound speed in air is invariant (340 m/s)",L3,1)),0,Q$1)</f>
        <v>0</v>
      </c>
      <c r="R3" s="15">
        <f t="shared" ref="R3:R9" si="12">IF(ISERROR(FIND("The sound speed in air is variable, being proportional to the temperature",L3,1)),0,R$1)</f>
        <v>0</v>
      </c>
      <c r="S3" s="15">
        <f t="shared" ref="S3:S9" si="13">IF(ISERROR(FIND("The sound speed in air is variable, proportional to the square root of temperature",L3,1)),0,S$1)</f>
        <v>1</v>
      </c>
      <c r="T3" s="20" t="s">
        <v>73</v>
      </c>
      <c r="U3" s="15">
        <f t="shared" ref="U3:U9" si="14">IF(ISERROR(FIND("The sound power level of the source increases by 3 dB",T3,1)),0,U$1)</f>
        <v>0</v>
      </c>
      <c r="V3" s="15">
        <f t="shared" ref="V3:V9" si="15">IF(ISERROR(FIND("The sound power level of the source increases by 6 dB",T3,1)),0,V$1)</f>
        <v>1</v>
      </c>
      <c r="W3" s="15">
        <f t="shared" ref="W3:W9" si="16">IF(ISERROR(FIND("The sound power level of the source increases by 10 dB",T3,1)),0,W$1)</f>
        <v>0</v>
      </c>
      <c r="X3" s="15">
        <f t="shared" ref="X3:X9" si="17">IF(ISERROR(FIND("The sound pressure level at the receiver increases by 3 dB",T3,1)),0,X$1)</f>
        <v>0</v>
      </c>
      <c r="Y3" s="15">
        <f t="shared" ref="Y3:Y9" si="18">IF(ISERROR(FIND("The sound pressure level at the receiver increases by 6 dB",T3,1)),0,Y$1)</f>
        <v>1</v>
      </c>
      <c r="Z3" s="15">
        <f t="shared" ref="Z3:Z9" si="19">IF(ISERROR(FIND("The sound pressure level at the receiver increases by 3 dB",T3,1)),0,Z$1)</f>
        <v>0</v>
      </c>
      <c r="AA3" s="20" t="s">
        <v>72</v>
      </c>
      <c r="AB3" s="15">
        <v>1</v>
      </c>
      <c r="AC3" s="20" t="s">
        <v>123</v>
      </c>
      <c r="AD3" s="21">
        <f t="shared" ref="AD3:AD9" si="20">0.00002*10^((110+K3)/20)</f>
        <v>11.246826503807004</v>
      </c>
      <c r="AE3" s="20" t="s">
        <v>50</v>
      </c>
      <c r="AF3" s="15">
        <v>2</v>
      </c>
      <c r="AG3" s="20" t="s">
        <v>122</v>
      </c>
      <c r="AH3" s="22">
        <f t="shared" ref="AH3:AH9" si="21">20*LOG10((0.1+J3/10)/0.00005)</f>
        <v>66.020599913279625</v>
      </c>
      <c r="AI3" s="20" t="s">
        <v>47</v>
      </c>
      <c r="AJ3" s="15">
        <v>2</v>
      </c>
      <c r="AK3" s="20" t="s">
        <v>121</v>
      </c>
      <c r="AL3" s="22">
        <f t="shared" ref="AL3:AL9" si="22">20*LOG10(10^((80+J3)/20)+10^((80+I3)/20))</f>
        <v>91.637589600041252</v>
      </c>
      <c r="AM3" s="20" t="s">
        <v>47</v>
      </c>
      <c r="AN3" s="15">
        <v>2</v>
      </c>
      <c r="AO3" s="20" t="s">
        <v>120</v>
      </c>
      <c r="AP3" s="22">
        <f>10*LOG10(10^((80+F3-16.1)/10)+10^((75+G3-8.6)/10)+10^((73+H3-3.2)/10)+10^((70+I3-0)/10)+10^((70+J3+1.2)/10)+10^((70+K3+1)/10))</f>
        <v>82.416503676969029</v>
      </c>
      <c r="AQ3" s="20" t="s">
        <v>63</v>
      </c>
      <c r="AR3" s="15">
        <v>2</v>
      </c>
      <c r="AS3" s="20" t="s">
        <v>119</v>
      </c>
      <c r="AT3" s="22">
        <f t="shared" ref="AT3:AT9" si="23">10*LOG10(10^((50+K3+2+J3/5)/10)-10^((50+K3)/10))</f>
        <v>52.670765666637536</v>
      </c>
      <c r="AU3" s="20" t="s">
        <v>63</v>
      </c>
      <c r="AV3" s="15">
        <v>2</v>
      </c>
      <c r="AW3" s="35">
        <f t="shared" ref="AW3:AW9" si="24">SUM(M3:S3)+SUM(U3:Z3)+AB3+AF3+AJ3+AN3+AR3+AV3</f>
        <v>15</v>
      </c>
    </row>
    <row r="4" spans="1:49" x14ac:dyDescent="0.45">
      <c r="A4" s="19">
        <v>3</v>
      </c>
      <c r="B4" s="20" t="s">
        <v>118</v>
      </c>
      <c r="C4" s="20" t="s">
        <v>117</v>
      </c>
      <c r="D4" s="20" t="s">
        <v>116</v>
      </c>
      <c r="E4" s="20">
        <v>276762</v>
      </c>
      <c r="F4" s="17">
        <f t="shared" si="0"/>
        <v>2</v>
      </c>
      <c r="G4" s="17">
        <f t="shared" si="1"/>
        <v>7</v>
      </c>
      <c r="H4" s="17">
        <f t="shared" si="6"/>
        <v>6</v>
      </c>
      <c r="I4" s="17">
        <f t="shared" si="3"/>
        <v>7</v>
      </c>
      <c r="J4" s="17">
        <f t="shared" si="4"/>
        <v>6</v>
      </c>
      <c r="K4" s="17">
        <f t="shared" si="5"/>
        <v>2</v>
      </c>
      <c r="L4" s="20" t="s">
        <v>84</v>
      </c>
      <c r="M4" s="15">
        <f t="shared" si="7"/>
        <v>0</v>
      </c>
      <c r="N4" s="15">
        <f t="shared" si="8"/>
        <v>0</v>
      </c>
      <c r="O4" s="15">
        <f t="shared" si="9"/>
        <v>0</v>
      </c>
      <c r="P4" s="15">
        <f t="shared" si="10"/>
        <v>0</v>
      </c>
      <c r="Q4" s="15">
        <f t="shared" si="11"/>
        <v>0</v>
      </c>
      <c r="R4" s="15">
        <f t="shared" si="12"/>
        <v>0</v>
      </c>
      <c r="S4" s="15">
        <f t="shared" si="13"/>
        <v>1</v>
      </c>
      <c r="T4" s="20" t="s">
        <v>83</v>
      </c>
      <c r="U4" s="15">
        <f t="shared" si="14"/>
        <v>0</v>
      </c>
      <c r="V4" s="15">
        <f t="shared" si="15"/>
        <v>1</v>
      </c>
      <c r="W4" s="15">
        <f t="shared" si="16"/>
        <v>0</v>
      </c>
      <c r="X4" s="15">
        <f t="shared" si="17"/>
        <v>0</v>
      </c>
      <c r="Y4" s="15">
        <f t="shared" si="18"/>
        <v>0</v>
      </c>
      <c r="Z4" s="15">
        <f t="shared" si="19"/>
        <v>0</v>
      </c>
      <c r="AA4" s="20" t="s">
        <v>37</v>
      </c>
      <c r="AB4" s="15">
        <v>-1</v>
      </c>
      <c r="AC4" s="20" t="s">
        <v>115</v>
      </c>
      <c r="AD4" s="21">
        <f t="shared" si="20"/>
        <v>7.9621434110699436</v>
      </c>
      <c r="AE4" s="20" t="s">
        <v>50</v>
      </c>
      <c r="AF4" s="15">
        <v>0</v>
      </c>
      <c r="AG4" s="20" t="s">
        <v>114</v>
      </c>
      <c r="AH4" s="22">
        <f t="shared" si="21"/>
        <v>82.922560713564764</v>
      </c>
      <c r="AI4" s="20" t="s">
        <v>47</v>
      </c>
      <c r="AJ4" s="15">
        <v>1</v>
      </c>
      <c r="AK4" s="20" t="s">
        <v>113</v>
      </c>
      <c r="AL4" s="22">
        <f t="shared" si="22"/>
        <v>92.534983129163749</v>
      </c>
      <c r="AM4" s="20" t="s">
        <v>47</v>
      </c>
      <c r="AN4" s="15">
        <v>2</v>
      </c>
      <c r="AO4" s="20" t="s">
        <v>112</v>
      </c>
      <c r="AP4" s="22">
        <f t="shared" ref="AP4:AP9" si="25">10*LOG10(10^((80+F4-16.1)/10)+10^((75+G4-8.6)/10)+10^((73+H4-3.2)/10)+10^((70+I4-0)/10)+10^((70+J4+1.2)/10)+10^((70+K4+1)/10))</f>
        <v>82.703039932283559</v>
      </c>
      <c r="AQ4" s="20" t="s">
        <v>63</v>
      </c>
      <c r="AR4" s="15">
        <v>2</v>
      </c>
      <c r="AS4" s="20"/>
      <c r="AT4" s="22">
        <f t="shared" si="23"/>
        <v>52.371459610348097</v>
      </c>
      <c r="AU4" s="20" t="s">
        <v>63</v>
      </c>
      <c r="AV4" s="15">
        <v>0</v>
      </c>
      <c r="AW4" s="35">
        <f t="shared" si="24"/>
        <v>6</v>
      </c>
    </row>
    <row r="5" spans="1:49" x14ac:dyDescent="0.45">
      <c r="A5" s="19">
        <v>4</v>
      </c>
      <c r="B5" s="20" t="s">
        <v>111</v>
      </c>
      <c r="C5" s="20" t="s">
        <v>110</v>
      </c>
      <c r="D5" s="20" t="s">
        <v>109</v>
      </c>
      <c r="E5" s="20">
        <v>328027</v>
      </c>
      <c r="F5" s="17">
        <f t="shared" si="0"/>
        <v>3</v>
      </c>
      <c r="G5" s="17">
        <f t="shared" si="1"/>
        <v>2</v>
      </c>
      <c r="H5" s="17">
        <f t="shared" si="6"/>
        <v>8</v>
      </c>
      <c r="I5" s="17">
        <f t="shared" si="3"/>
        <v>0</v>
      </c>
      <c r="J5" s="17">
        <f t="shared" si="4"/>
        <v>2</v>
      </c>
      <c r="K5" s="17">
        <f t="shared" si="5"/>
        <v>7</v>
      </c>
      <c r="L5" s="20" t="s">
        <v>74</v>
      </c>
      <c r="M5" s="15">
        <f t="shared" si="7"/>
        <v>0</v>
      </c>
      <c r="N5" s="15">
        <f t="shared" si="8"/>
        <v>0</v>
      </c>
      <c r="O5" s="15">
        <f t="shared" si="9"/>
        <v>1</v>
      </c>
      <c r="P5" s="15">
        <f t="shared" si="10"/>
        <v>0</v>
      </c>
      <c r="Q5" s="15">
        <f t="shared" si="11"/>
        <v>0</v>
      </c>
      <c r="R5" s="15">
        <f t="shared" si="12"/>
        <v>0</v>
      </c>
      <c r="S5" s="15">
        <f t="shared" si="13"/>
        <v>1</v>
      </c>
      <c r="T5" s="20" t="s">
        <v>73</v>
      </c>
      <c r="U5" s="15">
        <f t="shared" si="14"/>
        <v>0</v>
      </c>
      <c r="V5" s="15">
        <f t="shared" si="15"/>
        <v>1</v>
      </c>
      <c r="W5" s="15">
        <f t="shared" si="16"/>
        <v>0</v>
      </c>
      <c r="X5" s="15">
        <f t="shared" si="17"/>
        <v>0</v>
      </c>
      <c r="Y5" s="15">
        <f t="shared" si="18"/>
        <v>1</v>
      </c>
      <c r="Z5" s="15">
        <f t="shared" si="19"/>
        <v>0</v>
      </c>
      <c r="AA5" s="20" t="s">
        <v>72</v>
      </c>
      <c r="AB5" s="15">
        <v>1</v>
      </c>
      <c r="AC5" s="20" t="s">
        <v>108</v>
      </c>
      <c r="AD5" s="21">
        <f t="shared" si="20"/>
        <v>14.158915687682772</v>
      </c>
      <c r="AE5" s="20" t="s">
        <v>50</v>
      </c>
      <c r="AF5" s="15">
        <v>2</v>
      </c>
      <c r="AG5" s="20" t="s">
        <v>107</v>
      </c>
      <c r="AH5" s="22">
        <f t="shared" si="21"/>
        <v>75.563025007672877</v>
      </c>
      <c r="AI5" s="20" t="s">
        <v>47</v>
      </c>
      <c r="AJ5" s="15">
        <v>1</v>
      </c>
      <c r="AK5" s="20" t="s">
        <v>106</v>
      </c>
      <c r="AL5" s="22">
        <f t="shared" si="22"/>
        <v>87.078037820877356</v>
      </c>
      <c r="AM5" s="20" t="s">
        <v>47</v>
      </c>
      <c r="AN5" s="15">
        <v>2</v>
      </c>
      <c r="AO5" s="20" t="s">
        <v>68</v>
      </c>
      <c r="AP5" s="22">
        <f t="shared" si="25"/>
        <v>82.202670009761903</v>
      </c>
      <c r="AQ5" s="20" t="s">
        <v>63</v>
      </c>
      <c r="AR5" s="15">
        <v>2</v>
      </c>
      <c r="AS5" s="20" t="s">
        <v>105</v>
      </c>
      <c r="AT5" s="22">
        <f t="shared" si="23"/>
        <v>55.67939138720925</v>
      </c>
      <c r="AU5" s="20" t="s">
        <v>63</v>
      </c>
      <c r="AV5" s="15">
        <v>2</v>
      </c>
      <c r="AW5" s="35">
        <f t="shared" si="24"/>
        <v>14</v>
      </c>
    </row>
    <row r="6" spans="1:49" x14ac:dyDescent="0.45">
      <c r="A6" s="19">
        <v>5</v>
      </c>
      <c r="B6" s="20" t="s">
        <v>104</v>
      </c>
      <c r="C6" s="20" t="s">
        <v>103</v>
      </c>
      <c r="D6" s="20" t="s">
        <v>102</v>
      </c>
      <c r="E6" s="20">
        <v>329845</v>
      </c>
      <c r="F6" s="17">
        <f t="shared" si="0"/>
        <v>3</v>
      </c>
      <c r="G6" s="17">
        <f t="shared" si="1"/>
        <v>2</v>
      </c>
      <c r="H6" s="17">
        <f t="shared" si="6"/>
        <v>9</v>
      </c>
      <c r="I6" s="17">
        <f t="shared" si="3"/>
        <v>8</v>
      </c>
      <c r="J6" s="17">
        <f t="shared" si="4"/>
        <v>4</v>
      </c>
      <c r="K6" s="17">
        <f t="shared" si="5"/>
        <v>5</v>
      </c>
      <c r="L6" s="20" t="s">
        <v>93</v>
      </c>
      <c r="M6" s="15">
        <f t="shared" si="7"/>
        <v>0</v>
      </c>
      <c r="N6" s="15">
        <f t="shared" si="8"/>
        <v>0</v>
      </c>
      <c r="O6" s="15">
        <f t="shared" si="9"/>
        <v>0</v>
      </c>
      <c r="P6" s="15">
        <f t="shared" si="10"/>
        <v>-1</v>
      </c>
      <c r="Q6" s="15">
        <f t="shared" si="11"/>
        <v>0</v>
      </c>
      <c r="R6" s="15">
        <f t="shared" si="12"/>
        <v>0</v>
      </c>
      <c r="S6" s="15">
        <f t="shared" si="13"/>
        <v>1</v>
      </c>
      <c r="T6" s="20" t="s">
        <v>73</v>
      </c>
      <c r="U6" s="15">
        <f t="shared" si="14"/>
        <v>0</v>
      </c>
      <c r="V6" s="15">
        <f t="shared" si="15"/>
        <v>1</v>
      </c>
      <c r="W6" s="15">
        <f t="shared" si="16"/>
        <v>0</v>
      </c>
      <c r="X6" s="15">
        <f t="shared" si="17"/>
        <v>0</v>
      </c>
      <c r="Y6" s="15">
        <f t="shared" si="18"/>
        <v>1</v>
      </c>
      <c r="Z6" s="15">
        <f t="shared" si="19"/>
        <v>0</v>
      </c>
      <c r="AA6" s="20" t="s">
        <v>72</v>
      </c>
      <c r="AB6" s="15">
        <v>1</v>
      </c>
      <c r="AC6" s="20" t="s">
        <v>101</v>
      </c>
      <c r="AD6" s="21">
        <f t="shared" si="20"/>
        <v>11.246826503807004</v>
      </c>
      <c r="AE6" s="20" t="s">
        <v>50</v>
      </c>
      <c r="AF6" s="15">
        <v>2</v>
      </c>
      <c r="AG6" s="20" t="s">
        <v>100</v>
      </c>
      <c r="AH6" s="22">
        <f t="shared" si="21"/>
        <v>80</v>
      </c>
      <c r="AI6" s="20" t="s">
        <v>47</v>
      </c>
      <c r="AJ6" s="15">
        <v>2</v>
      </c>
      <c r="AK6" s="20" t="s">
        <v>99</v>
      </c>
      <c r="AL6" s="22">
        <f t="shared" si="22"/>
        <v>92.2488520558868</v>
      </c>
      <c r="AM6" s="20" t="s">
        <v>47</v>
      </c>
      <c r="AN6" s="15">
        <v>2</v>
      </c>
      <c r="AO6" s="20" t="s">
        <v>98</v>
      </c>
      <c r="AP6" s="22">
        <f t="shared" si="25"/>
        <v>83.496532075696337</v>
      </c>
      <c r="AQ6" s="20" t="s">
        <v>63</v>
      </c>
      <c r="AR6" s="15">
        <v>1</v>
      </c>
      <c r="AS6" s="20" t="s">
        <v>97</v>
      </c>
      <c r="AT6" s="22">
        <f t="shared" si="23"/>
        <v>54.568696138528878</v>
      </c>
      <c r="AU6" s="20" t="s">
        <v>63</v>
      </c>
      <c r="AV6" s="15">
        <v>0</v>
      </c>
      <c r="AW6" s="35">
        <f t="shared" si="24"/>
        <v>10</v>
      </c>
    </row>
    <row r="7" spans="1:49" x14ac:dyDescent="0.45">
      <c r="A7" s="19">
        <v>6</v>
      </c>
      <c r="B7" s="20" t="s">
        <v>96</v>
      </c>
      <c r="C7" s="20" t="s">
        <v>95</v>
      </c>
      <c r="D7" s="20" t="s">
        <v>94</v>
      </c>
      <c r="E7" s="20">
        <v>325758</v>
      </c>
      <c r="F7" s="17">
        <f t="shared" si="0"/>
        <v>3</v>
      </c>
      <c r="G7" s="17">
        <f t="shared" si="1"/>
        <v>2</v>
      </c>
      <c r="H7" s="17">
        <f t="shared" si="6"/>
        <v>5</v>
      </c>
      <c r="I7" s="17">
        <f t="shared" si="3"/>
        <v>7</v>
      </c>
      <c r="J7" s="17">
        <f t="shared" si="4"/>
        <v>5</v>
      </c>
      <c r="K7" s="17">
        <f t="shared" si="5"/>
        <v>8</v>
      </c>
      <c r="L7" s="20" t="s">
        <v>93</v>
      </c>
      <c r="M7" s="15">
        <f t="shared" si="7"/>
        <v>0</v>
      </c>
      <c r="N7" s="15">
        <f t="shared" si="8"/>
        <v>0</v>
      </c>
      <c r="O7" s="15">
        <f t="shared" si="9"/>
        <v>0</v>
      </c>
      <c r="P7" s="15">
        <f t="shared" si="10"/>
        <v>-1</v>
      </c>
      <c r="Q7" s="15">
        <f t="shared" si="11"/>
        <v>0</v>
      </c>
      <c r="R7" s="15">
        <f t="shared" si="12"/>
        <v>0</v>
      </c>
      <c r="S7" s="15">
        <f t="shared" si="13"/>
        <v>1</v>
      </c>
      <c r="T7" s="20" t="s">
        <v>73</v>
      </c>
      <c r="U7" s="15">
        <f t="shared" si="14"/>
        <v>0</v>
      </c>
      <c r="V7" s="15">
        <f t="shared" si="15"/>
        <v>1</v>
      </c>
      <c r="W7" s="15">
        <f t="shared" si="16"/>
        <v>0</v>
      </c>
      <c r="X7" s="15">
        <f t="shared" si="17"/>
        <v>0</v>
      </c>
      <c r="Y7" s="15">
        <f t="shared" si="18"/>
        <v>1</v>
      </c>
      <c r="Z7" s="15">
        <f t="shared" si="19"/>
        <v>0</v>
      </c>
      <c r="AA7" s="20" t="s">
        <v>35</v>
      </c>
      <c r="AB7" s="15">
        <v>-1</v>
      </c>
      <c r="AC7" s="20" t="s">
        <v>92</v>
      </c>
      <c r="AD7" s="21">
        <f t="shared" si="20"/>
        <v>15.886564694485669</v>
      </c>
      <c r="AE7" s="20" t="s">
        <v>50</v>
      </c>
      <c r="AF7" s="15">
        <v>2</v>
      </c>
      <c r="AG7" s="20" t="s">
        <v>91</v>
      </c>
      <c r="AH7" s="22">
        <f t="shared" si="21"/>
        <v>81.583624920952502</v>
      </c>
      <c r="AI7" s="20" t="s">
        <v>47</v>
      </c>
      <c r="AJ7" s="15">
        <v>2</v>
      </c>
      <c r="AK7" s="20" t="s">
        <v>90</v>
      </c>
      <c r="AL7" s="22">
        <f t="shared" si="22"/>
        <v>92.078037820877341</v>
      </c>
      <c r="AM7" s="20" t="s">
        <v>47</v>
      </c>
      <c r="AN7" s="15">
        <v>2</v>
      </c>
      <c r="AO7" s="20" t="s">
        <v>89</v>
      </c>
      <c r="AP7" s="22">
        <f t="shared" si="25"/>
        <v>83.288973902067511</v>
      </c>
      <c r="AQ7" s="20" t="s">
        <v>63</v>
      </c>
      <c r="AR7" s="15">
        <v>2</v>
      </c>
      <c r="AS7" s="20" t="s">
        <v>88</v>
      </c>
      <c r="AT7" s="22">
        <f t="shared" si="23"/>
        <v>57.979375600716992</v>
      </c>
      <c r="AU7" s="20" t="s">
        <v>63</v>
      </c>
      <c r="AV7" s="15">
        <v>2</v>
      </c>
      <c r="AW7" s="35">
        <f t="shared" si="24"/>
        <v>11</v>
      </c>
    </row>
    <row r="8" spans="1:49" x14ac:dyDescent="0.45">
      <c r="A8" s="19">
        <v>7</v>
      </c>
      <c r="B8" s="20" t="s">
        <v>87</v>
      </c>
      <c r="C8" s="20" t="s">
        <v>86</v>
      </c>
      <c r="D8" s="20" t="s">
        <v>85</v>
      </c>
      <c r="E8" s="20">
        <v>324363</v>
      </c>
      <c r="F8" s="17">
        <f t="shared" si="0"/>
        <v>3</v>
      </c>
      <c r="G8" s="17">
        <f t="shared" si="1"/>
        <v>2</v>
      </c>
      <c r="H8" s="17">
        <f t="shared" si="6"/>
        <v>4</v>
      </c>
      <c r="I8" s="17">
        <f t="shared" si="3"/>
        <v>3</v>
      </c>
      <c r="J8" s="17">
        <f t="shared" si="4"/>
        <v>6</v>
      </c>
      <c r="K8" s="17">
        <f t="shared" si="5"/>
        <v>3</v>
      </c>
      <c r="L8" s="20" t="s">
        <v>84</v>
      </c>
      <c r="M8" s="15">
        <f t="shared" si="7"/>
        <v>0</v>
      </c>
      <c r="N8" s="15">
        <f t="shared" si="8"/>
        <v>0</v>
      </c>
      <c r="O8" s="15">
        <f t="shared" si="9"/>
        <v>0</v>
      </c>
      <c r="P8" s="15">
        <f t="shared" si="10"/>
        <v>0</v>
      </c>
      <c r="Q8" s="15">
        <f t="shared" si="11"/>
        <v>0</v>
      </c>
      <c r="R8" s="15">
        <f t="shared" si="12"/>
        <v>0</v>
      </c>
      <c r="S8" s="15">
        <f t="shared" si="13"/>
        <v>1</v>
      </c>
      <c r="T8" s="20" t="s">
        <v>83</v>
      </c>
      <c r="U8" s="15">
        <f t="shared" si="14"/>
        <v>0</v>
      </c>
      <c r="V8" s="15">
        <f t="shared" si="15"/>
        <v>1</v>
      </c>
      <c r="W8" s="15">
        <f t="shared" si="16"/>
        <v>0</v>
      </c>
      <c r="X8" s="15">
        <f t="shared" si="17"/>
        <v>0</v>
      </c>
      <c r="Y8" s="15">
        <f t="shared" si="18"/>
        <v>0</v>
      </c>
      <c r="Z8" s="15">
        <f t="shared" si="19"/>
        <v>0</v>
      </c>
      <c r="AA8" s="20" t="s">
        <v>72</v>
      </c>
      <c r="AB8" s="15">
        <v>1</v>
      </c>
      <c r="AC8" s="20" t="s">
        <v>82</v>
      </c>
      <c r="AD8" s="21">
        <f t="shared" si="20"/>
        <v>8.9336718430192885</v>
      </c>
      <c r="AE8" s="20" t="s">
        <v>50</v>
      </c>
      <c r="AF8" s="15">
        <v>2</v>
      </c>
      <c r="AG8" s="20" t="s">
        <v>81</v>
      </c>
      <c r="AH8" s="22">
        <f t="shared" si="21"/>
        <v>82.922560713564764</v>
      </c>
      <c r="AI8" s="20" t="s">
        <v>47</v>
      </c>
      <c r="AJ8" s="15">
        <v>1</v>
      </c>
      <c r="AK8" s="20" t="s">
        <v>80</v>
      </c>
      <c r="AL8" s="22">
        <f t="shared" si="22"/>
        <v>90.649481613751732</v>
      </c>
      <c r="AM8" s="20" t="s">
        <v>47</v>
      </c>
      <c r="AN8" s="15">
        <v>2</v>
      </c>
      <c r="AO8" s="20" t="s">
        <v>79</v>
      </c>
      <c r="AP8" s="22">
        <f t="shared" si="25"/>
        <v>81.2501471168042</v>
      </c>
      <c r="AQ8" s="20" t="s">
        <v>63</v>
      </c>
      <c r="AR8" s="15">
        <v>2</v>
      </c>
      <c r="AS8" s="20" t="s">
        <v>78</v>
      </c>
      <c r="AT8" s="22">
        <f t="shared" si="23"/>
        <v>53.371459610348097</v>
      </c>
      <c r="AU8" s="20" t="s">
        <v>63</v>
      </c>
      <c r="AV8" s="15">
        <v>2</v>
      </c>
      <c r="AW8" s="35">
        <f t="shared" si="24"/>
        <v>12</v>
      </c>
    </row>
    <row r="9" spans="1:49" ht="14.65" thickBot="1" x14ac:dyDescent="0.5">
      <c r="A9" s="23">
        <v>8</v>
      </c>
      <c r="B9" s="24" t="s">
        <v>77</v>
      </c>
      <c r="C9" s="24" t="s">
        <v>76</v>
      </c>
      <c r="D9" s="24" t="s">
        <v>75</v>
      </c>
      <c r="E9" s="24">
        <v>321870</v>
      </c>
      <c r="F9" s="25">
        <f t="shared" si="0"/>
        <v>3</v>
      </c>
      <c r="G9" s="25">
        <f t="shared" si="1"/>
        <v>2</v>
      </c>
      <c r="H9" s="25">
        <f t="shared" si="6"/>
        <v>1</v>
      </c>
      <c r="I9" s="25">
        <f t="shared" si="3"/>
        <v>8</v>
      </c>
      <c r="J9" s="25">
        <f t="shared" si="4"/>
        <v>7</v>
      </c>
      <c r="K9" s="25">
        <f t="shared" si="5"/>
        <v>0</v>
      </c>
      <c r="L9" s="24" t="s">
        <v>74</v>
      </c>
      <c r="M9" s="26">
        <f t="shared" si="7"/>
        <v>0</v>
      </c>
      <c r="N9" s="26">
        <f t="shared" si="8"/>
        <v>0</v>
      </c>
      <c r="O9" s="26">
        <f t="shared" si="9"/>
        <v>1</v>
      </c>
      <c r="P9" s="26">
        <f t="shared" si="10"/>
        <v>0</v>
      </c>
      <c r="Q9" s="26">
        <f t="shared" si="11"/>
        <v>0</v>
      </c>
      <c r="R9" s="26">
        <f t="shared" si="12"/>
        <v>0</v>
      </c>
      <c r="S9" s="26">
        <f t="shared" si="13"/>
        <v>1</v>
      </c>
      <c r="T9" s="24" t="s">
        <v>73</v>
      </c>
      <c r="U9" s="26">
        <f t="shared" si="14"/>
        <v>0</v>
      </c>
      <c r="V9" s="26">
        <f t="shared" si="15"/>
        <v>1</v>
      </c>
      <c r="W9" s="26">
        <f t="shared" si="16"/>
        <v>0</v>
      </c>
      <c r="X9" s="26">
        <f t="shared" si="17"/>
        <v>0</v>
      </c>
      <c r="Y9" s="26">
        <f t="shared" si="18"/>
        <v>1</v>
      </c>
      <c r="Z9" s="26">
        <f t="shared" si="19"/>
        <v>0</v>
      </c>
      <c r="AA9" s="24" t="s">
        <v>72</v>
      </c>
      <c r="AB9" s="26">
        <v>1</v>
      </c>
      <c r="AC9" s="24" t="s">
        <v>71</v>
      </c>
      <c r="AD9" s="27">
        <f t="shared" si="20"/>
        <v>6.3245553203367644</v>
      </c>
      <c r="AE9" s="24" t="s">
        <v>50</v>
      </c>
      <c r="AF9" s="26">
        <v>2</v>
      </c>
      <c r="AG9" s="24" t="s">
        <v>70</v>
      </c>
      <c r="AH9" s="28">
        <f t="shared" si="21"/>
        <v>84.0823996531185</v>
      </c>
      <c r="AI9" s="24" t="s">
        <v>47</v>
      </c>
      <c r="AJ9" s="26">
        <v>1</v>
      </c>
      <c r="AK9" s="24" t="s">
        <v>69</v>
      </c>
      <c r="AL9" s="28">
        <f t="shared" si="22"/>
        <v>93.534983129163749</v>
      </c>
      <c r="AM9" s="24" t="s">
        <v>47</v>
      </c>
      <c r="AN9" s="26">
        <v>2</v>
      </c>
      <c r="AO9" s="24" t="s">
        <v>68</v>
      </c>
      <c r="AP9" s="28">
        <f t="shared" si="25"/>
        <v>82.190421725168818</v>
      </c>
      <c r="AQ9" s="24" t="s">
        <v>63</v>
      </c>
      <c r="AR9" s="26">
        <v>2</v>
      </c>
      <c r="AS9" s="24" t="s">
        <v>67</v>
      </c>
      <c r="AT9" s="28">
        <f t="shared" si="23"/>
        <v>50.747292893058898</v>
      </c>
      <c r="AU9" s="24" t="s">
        <v>63</v>
      </c>
      <c r="AV9" s="26">
        <v>2</v>
      </c>
      <c r="AW9" s="36">
        <f>SUM(M9:S9)+SUM(U9:Z9)+AB9+AF9+AJ9+AN9+AR9+AV9</f>
        <v>14</v>
      </c>
    </row>
    <row r="10" spans="1:49" x14ac:dyDescent="0.45">
      <c r="AD10" s="18"/>
    </row>
  </sheetData>
  <conditionalFormatting sqref="M1:S1">
    <cfRule type="aboveAverage" dxfId="27" priority="39" aboveAverage="0"/>
    <cfRule type="aboveAverage" dxfId="26" priority="40"/>
  </conditionalFormatting>
  <conditionalFormatting sqref="M2:S9">
    <cfRule type="aboveAverage" dxfId="25" priority="37" aboveAverage="0"/>
    <cfRule type="aboveAverage" dxfId="24" priority="38"/>
  </conditionalFormatting>
  <conditionalFormatting sqref="M2:S9">
    <cfRule type="cellIs" dxfId="23" priority="36" operator="equal">
      <formula>0</formula>
    </cfRule>
  </conditionalFormatting>
  <conditionalFormatting sqref="U1:Z1">
    <cfRule type="aboveAverage" dxfId="22" priority="34" aboveAverage="0"/>
    <cfRule type="aboveAverage" dxfId="21" priority="35"/>
  </conditionalFormatting>
  <conditionalFormatting sqref="U2:Z9">
    <cfRule type="aboveAverage" dxfId="20" priority="32" aboveAverage="0"/>
    <cfRule type="aboveAverage" dxfId="19" priority="33"/>
  </conditionalFormatting>
  <conditionalFormatting sqref="U2:Z9">
    <cfRule type="cellIs" dxfId="18" priority="31" operator="equal">
      <formula>0</formula>
    </cfRule>
  </conditionalFormatting>
  <conditionalFormatting sqref="AB2:AB9">
    <cfRule type="aboveAverage" dxfId="17" priority="29" aboveAverage="0"/>
    <cfRule type="aboveAverage" dxfId="16" priority="30"/>
  </conditionalFormatting>
  <conditionalFormatting sqref="AB2:AB9">
    <cfRule type="cellIs" dxfId="15" priority="28" operator="equal">
      <formula>0</formula>
    </cfRule>
  </conditionalFormatting>
  <conditionalFormatting sqref="AN2:AN9">
    <cfRule type="cellIs" dxfId="14" priority="14" operator="equal">
      <formula>0</formula>
    </cfRule>
    <cfRule type="cellIs" dxfId="13" priority="15" operator="equal">
      <formula>2</formula>
    </cfRule>
  </conditionalFormatting>
  <conditionalFormatting sqref="AN2:AN9">
    <cfRule type="cellIs" dxfId="12" priority="13" operator="equal">
      <formula>1</formula>
    </cfRule>
  </conditionalFormatting>
  <conditionalFormatting sqref="AJ2:AJ9">
    <cfRule type="cellIs" dxfId="11" priority="11" operator="equal">
      <formula>0</formula>
    </cfRule>
    <cfRule type="cellIs" dxfId="10" priority="12" operator="equal">
      <formula>2</formula>
    </cfRule>
  </conditionalFormatting>
  <conditionalFormatting sqref="AJ2:AJ9">
    <cfRule type="cellIs" dxfId="9" priority="10" operator="equal">
      <formula>1</formula>
    </cfRule>
  </conditionalFormatting>
  <conditionalFormatting sqref="AF2:AF9">
    <cfRule type="cellIs" dxfId="8" priority="8" operator="equal">
      <formula>0</formula>
    </cfRule>
    <cfRule type="cellIs" dxfId="7" priority="9" operator="equal">
      <formula>2</formula>
    </cfRule>
  </conditionalFormatting>
  <conditionalFormatting sqref="AF2:AF9">
    <cfRule type="cellIs" dxfId="6" priority="7" operator="equal">
      <formula>1</formula>
    </cfRule>
  </conditionalFormatting>
  <conditionalFormatting sqref="AR2:AR9">
    <cfRule type="cellIs" dxfId="5" priority="5" operator="equal">
      <formula>0</formula>
    </cfRule>
    <cfRule type="cellIs" dxfId="4" priority="6" operator="equal">
      <formula>2</formula>
    </cfRule>
  </conditionalFormatting>
  <conditionalFormatting sqref="AR2:AR9">
    <cfRule type="cellIs" dxfId="3" priority="4" operator="equal">
      <formula>1</formula>
    </cfRule>
  </conditionalFormatting>
  <conditionalFormatting sqref="AV2:AV9">
    <cfRule type="cellIs" dxfId="2" priority="2" operator="equal">
      <formula>0</formula>
    </cfRule>
    <cfRule type="cellIs" dxfId="1" priority="3" operator="equal">
      <formula>2</formula>
    </cfRule>
  </conditionalFormatting>
  <conditionalFormatting sqref="AV2:AV9">
    <cfRule type="cellIs" dxfId="0" priority="1" operator="equal">
      <formula>1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Solution</vt:lpstr>
      <vt:lpstr>Test-2021-10-11</vt:lpstr>
      <vt:lpstr>Lp_1</vt:lpstr>
      <vt:lpstr>Lp_2</vt:lpstr>
      <vt:lpstr>SPL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2021-10-11T07:44:43Z</dcterms:created>
  <dcterms:modified xsi:type="dcterms:W3CDTF">2021-10-12T14:13:22Z</dcterms:modified>
</cp:coreProperties>
</file>