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pplied-Acoustics\Tests-2018\"/>
    </mc:Choice>
  </mc:AlternateContent>
  <bookViews>
    <workbookView xWindow="1170" yWindow="0" windowWidth="17040" windowHeight="11745"/>
  </bookViews>
  <sheets>
    <sheet name="Form Responses 1" sheetId="1" r:id="rId1"/>
    <sheet name="Solution" sheetId="2" r:id="rId2"/>
  </sheets>
  <definedNames>
    <definedName name="A">Solution!$C$3</definedName>
    <definedName name="B">Solution!$D$3</definedName>
    <definedName name="CC">Solution!$E$3</definedName>
    <definedName name="D">Solution!$F$3</definedName>
    <definedName name="E">Solution!$G$3</definedName>
    <definedName name="F">Solution!$H$3</definedName>
  </definedNames>
  <calcPr calcId="162913"/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2" i="1"/>
  <c r="Z17" i="1" l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V17" i="1"/>
  <c r="V16" i="1"/>
  <c r="V15" i="1"/>
  <c r="V14" i="1"/>
  <c r="V12" i="1"/>
  <c r="V11" i="1"/>
  <c r="V10" i="1"/>
  <c r="V9" i="1"/>
  <c r="V8" i="1"/>
  <c r="V7" i="1"/>
  <c r="V6" i="1"/>
  <c r="V5" i="1"/>
  <c r="V4" i="1"/>
  <c r="V3" i="1"/>
  <c r="V2" i="1"/>
  <c r="R17" i="1"/>
  <c r="R16" i="1"/>
  <c r="R15" i="1"/>
  <c r="R14" i="1"/>
  <c r="R13" i="1"/>
  <c r="R12" i="1"/>
  <c r="R11" i="1"/>
  <c r="R9" i="1"/>
  <c r="R8" i="1"/>
  <c r="R7" i="1"/>
  <c r="R6" i="1"/>
  <c r="R5" i="1"/>
  <c r="R4" i="1"/>
  <c r="R3" i="1"/>
  <c r="R2" i="1"/>
  <c r="N17" i="1"/>
  <c r="N16" i="1"/>
  <c r="N14" i="1"/>
  <c r="N12" i="1"/>
  <c r="N11" i="1"/>
  <c r="N9" i="1"/>
  <c r="N8" i="1"/>
  <c r="N7" i="1"/>
  <c r="N6" i="1"/>
  <c r="N5" i="1"/>
  <c r="N4" i="1"/>
  <c r="N3" i="1"/>
  <c r="N2" i="1"/>
  <c r="J17" i="1"/>
  <c r="J15" i="1"/>
  <c r="J14" i="1"/>
  <c r="J12" i="1"/>
  <c r="J11" i="1"/>
  <c r="J9" i="1"/>
  <c r="J8" i="1"/>
  <c r="J6" i="1"/>
  <c r="J5" i="1"/>
  <c r="J4" i="1"/>
  <c r="J3" i="1"/>
  <c r="J2" i="1"/>
  <c r="A3" i="2"/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2" i="1"/>
  <c r="C3" i="2"/>
  <c r="D3" i="2" l="1"/>
  <c r="E3" i="2" l="1"/>
  <c r="F3" i="2" l="1"/>
  <c r="G3" i="2" s="1"/>
  <c r="H3" i="2" l="1"/>
  <c r="G30" i="2" l="1"/>
  <c r="F30" i="2"/>
  <c r="E30" i="2"/>
  <c r="C30" i="2"/>
  <c r="B30" i="2"/>
  <c r="G22" i="2"/>
  <c r="K16" i="2"/>
  <c r="K30" i="2"/>
  <c r="H12" i="2"/>
  <c r="L19" i="1" s="1"/>
  <c r="D30" i="2"/>
  <c r="J30" i="2"/>
  <c r="I30" i="2"/>
  <c r="H30" i="2"/>
  <c r="E16" i="2"/>
  <c r="H7" i="2"/>
  <c r="H19" i="1" s="1"/>
  <c r="K31" i="2" l="1"/>
  <c r="J31" i="2"/>
  <c r="I31" i="2"/>
  <c r="H31" i="2"/>
  <c r="G31" i="2"/>
  <c r="F31" i="2"/>
  <c r="E31" i="2"/>
  <c r="D31" i="2"/>
  <c r="C31" i="2"/>
  <c r="B31" i="2"/>
  <c r="G24" i="2"/>
  <c r="G25" i="2" s="1"/>
  <c r="G32" i="2" l="1"/>
  <c r="G33" i="2" s="1"/>
  <c r="F22" i="2" l="1"/>
  <c r="F24" i="2" s="1"/>
  <c r="H22" i="2"/>
  <c r="H24" i="2" s="1"/>
  <c r="S16" i="2"/>
  <c r="H17" i="2" s="1"/>
  <c r="P19" i="1" s="1"/>
  <c r="H25" i="2" l="1"/>
  <c r="H32" i="2"/>
  <c r="H33" i="2" s="1"/>
  <c r="I22" i="2"/>
  <c r="F32" i="2"/>
  <c r="F33" i="2" s="1"/>
  <c r="F25" i="2"/>
  <c r="E22" i="2"/>
  <c r="E24" i="2" l="1"/>
  <c r="D22" i="2"/>
  <c r="I24" i="2"/>
  <c r="J22" i="2"/>
  <c r="K22" i="2" l="1"/>
  <c r="K24" i="2" s="1"/>
  <c r="J24" i="2"/>
  <c r="I25" i="2"/>
  <c r="I32" i="2"/>
  <c r="I33" i="2" s="1"/>
  <c r="D24" i="2"/>
  <c r="C22" i="2"/>
  <c r="E32" i="2"/>
  <c r="E33" i="2" s="1"/>
  <c r="E25" i="2"/>
  <c r="D32" i="2" l="1"/>
  <c r="D33" i="2" s="1"/>
  <c r="D25" i="2"/>
  <c r="B22" i="2"/>
  <c r="B24" i="2" s="1"/>
  <c r="C24" i="2"/>
  <c r="J32" i="2"/>
  <c r="J33" i="2" s="1"/>
  <c r="J25" i="2"/>
  <c r="K32" i="2"/>
  <c r="K33" i="2" s="1"/>
  <c r="K25" i="2"/>
  <c r="C25" i="2" l="1"/>
  <c r="C32" i="2"/>
  <c r="C33" i="2" s="1"/>
  <c r="B25" i="2"/>
  <c r="B32" i="2"/>
  <c r="B33" i="2" s="1"/>
  <c r="L33" i="2" s="1"/>
  <c r="L32" i="2" s="1"/>
  <c r="X19" i="1" s="1"/>
  <c r="L25" i="2" l="1"/>
  <c r="L24" i="2" s="1"/>
  <c r="T19" i="1" s="1"/>
</calcChain>
</file>

<file path=xl/sharedStrings.xml><?xml version="1.0" encoding="utf-8"?>
<sst xmlns="http://schemas.openxmlformats.org/spreadsheetml/2006/main" count="321" uniqueCount="167">
  <si>
    <t>Timestamp</t>
  </si>
  <si>
    <t>Email Address</t>
  </si>
  <si>
    <t>Surname and Name</t>
  </si>
  <si>
    <t>Matricula</t>
  </si>
  <si>
    <t>1) Compute the value of LA,eq at the end of a measurement, during which the SPL was 60+F dB(A) for 1+D hours, 65+E dB(A) for 2+C/3 hours and 63+D dB(A) for 3h.</t>
  </si>
  <si>
    <t>2) The traffic along a road, during the day period (06-22), is of 10000+E·1000 cars. The SEL of a single car pass-by is equal to 80+F dB(A) at the standard distance of 7.5m. Compute LA,eq,day at a distance of 40+E m.</t>
  </si>
  <si>
    <t xml:space="preserve">3) Compute the value of Lep for a worker spending a daily period of 8+F/2 h inside a factory where the background noise level is 75+E dB(A) and subject to 50+D*10 events having a SEL of 100+F dB)(A) each. </t>
  </si>
  <si>
    <t>4) Compute the total SPL in dB(A) of a white spectrum in octave bands ranging between 31.5 Hz and 16 kHz (10 octave bands). The SPL in the 1 kHz octave band is 60+F dB.</t>
  </si>
  <si>
    <t>5) Recompute the total SPL in dB(A) in the same case of previous exercise, after having installed a barrier between the point source and the receiver causing a path increment δ=1+F/10 m.</t>
  </si>
  <si>
    <t>6) What is the correct definition of Lep?</t>
  </si>
  <si>
    <t>7) What is the correct definition of differential noise limit according to Italian law?</t>
  </si>
  <si>
    <t>8) What is the relationship between the average sound pressure Lp measured inside a silent room, on a parallelepiped surface S surrounding a sound source and the power level Lw of the sound source?</t>
  </si>
  <si>
    <t>luca.storchi@studenti.unipr.it</t>
  </si>
  <si>
    <t>Storchi Luca</t>
  </si>
  <si>
    <t>68.62 dB(A)</t>
  </si>
  <si>
    <t>The equivalent level averaged over the effective duration of the daily work, T, packed to 8 hours adding +10*log10(T/8h)</t>
  </si>
  <si>
    <t>The difference between the total environmental noise level and the residual noise level (which means LA,eq with a specific sound source switched off), both measured on short times (a few minutes).</t>
  </si>
  <si>
    <t>nicholas.rocchi@studenti.unipr.it</t>
  </si>
  <si>
    <t>Rocchi Nicholas</t>
  </si>
  <si>
    <t>68.9 dB(A)</t>
  </si>
  <si>
    <t>69.7 dB(A)</t>
  </si>
  <si>
    <t>84.2 dB(A)</t>
  </si>
  <si>
    <t>60.1 dB(A)</t>
  </si>
  <si>
    <t>38.1 dB(A)</t>
  </si>
  <si>
    <t>Lw = Lp + 10*log10(S)</t>
  </si>
  <si>
    <t>veronica.mattioli@studenti.unipr.it</t>
  </si>
  <si>
    <t>Mattioli Veronica</t>
  </si>
  <si>
    <t>112.6 dB(A)</t>
  </si>
  <si>
    <t>72.38 dB(A)</t>
  </si>
  <si>
    <t>91.3 dB(A)</t>
  </si>
  <si>
    <t>76 dB(A)</t>
  </si>
  <si>
    <t>The equivalent level averaged over a period of 8 hours</t>
  </si>
  <si>
    <t>marco.simonazzi1@studenti.unipr.it</t>
  </si>
  <si>
    <t>Simonazzi Marco</t>
  </si>
  <si>
    <t>68.7 dB(A)</t>
  </si>
  <si>
    <t>68.3 dB(A)</t>
  </si>
  <si>
    <t>112.4 dB(A)</t>
  </si>
  <si>
    <t>78.2 dB(A)</t>
  </si>
  <si>
    <t>50.5 dB(A)</t>
  </si>
  <si>
    <t>angelo.traina@studenti.unipr.it</t>
  </si>
  <si>
    <t>Traina Angelo</t>
  </si>
  <si>
    <t>68.2 dB(A)</t>
  </si>
  <si>
    <t>73.95 dB(A)</t>
  </si>
  <si>
    <t>85.258 dB(A)</t>
  </si>
  <si>
    <t>80.7 dB(A)</t>
  </si>
  <si>
    <t>luca.pagliarini@studenti.unipr.it</t>
  </si>
  <si>
    <t>Pagliarini Luca</t>
  </si>
  <si>
    <t>69.3 dB (A)</t>
  </si>
  <si>
    <t>75.5 dB(A)</t>
  </si>
  <si>
    <t>84.5 dB(A)</t>
  </si>
  <si>
    <t>80.9 dB(A)</t>
  </si>
  <si>
    <t>52.7 dB(A)</t>
  </si>
  <si>
    <t>Lw = Lp - 10*log10[Q/(4*π*r²)+4/A]</t>
  </si>
  <si>
    <t>evana.mahfuth@studenti.unipr.it</t>
  </si>
  <si>
    <t>Mahfuth Evana</t>
  </si>
  <si>
    <t>76.4 dB(A)</t>
  </si>
  <si>
    <t>155.9 dB(A)</t>
  </si>
  <si>
    <t>72.2 dB(A)</t>
  </si>
  <si>
    <t>edoardo.menghini@studenti.unipr.it</t>
  </si>
  <si>
    <t xml:space="preserve">Menghini Edoardo </t>
  </si>
  <si>
    <t>65.0 dB(A)</t>
  </si>
  <si>
    <t>69.1 dB(A)</t>
  </si>
  <si>
    <t>80.0 dB(A)</t>
  </si>
  <si>
    <t>76.7 dB(A)</t>
  </si>
  <si>
    <t>49.1 dB(A)</t>
  </si>
  <si>
    <t>sonashivajirao.chavan@studenti.unipr.it</t>
  </si>
  <si>
    <t>Chavan sona shivaji rao</t>
  </si>
  <si>
    <t>82.36dB(A)</t>
  </si>
  <si>
    <t>79.94dB(A)</t>
  </si>
  <si>
    <t>84.1989dB(A)</t>
  </si>
  <si>
    <t>monashivajirao.chavan@studenti.unipr.it</t>
  </si>
  <si>
    <t xml:space="preserve">Chavan mona Shivaji Rao </t>
  </si>
  <si>
    <t>69.48 dB(A)</t>
  </si>
  <si>
    <t>76.18 dB(A)</t>
  </si>
  <si>
    <t>77.796 dB(A)</t>
  </si>
  <si>
    <t>khuram.shahzad@studenti.unipr.it</t>
  </si>
  <si>
    <t>Shahzad Khuram</t>
  </si>
  <si>
    <t>69.15 dB(A)</t>
  </si>
  <si>
    <t>73.55 dB(A)</t>
  </si>
  <si>
    <t>118.75 dB(A)</t>
  </si>
  <si>
    <t>74.2 dB(A)</t>
  </si>
  <si>
    <t>56.65 dB(A)</t>
  </si>
  <si>
    <t>francesco.cabrini1@studenti.unipr.it</t>
  </si>
  <si>
    <t>Cabrini Francesco</t>
  </si>
  <si>
    <t>68,96 dB(A)</t>
  </si>
  <si>
    <t>68,73 dB(A)</t>
  </si>
  <si>
    <t>74,68dB(A)</t>
  </si>
  <si>
    <t>Lw = Lp + 11 + 20*log10(r) - 10*log10(Q)</t>
  </si>
  <si>
    <t>luca.pettenati@studenti.unipr.it</t>
  </si>
  <si>
    <t>Pettenati Luca</t>
  </si>
  <si>
    <t>67.62 dB(A)</t>
  </si>
  <si>
    <t>The difference between the SPL generated by a specific sound source and the residual level measured with that specific sound source turned off.</t>
  </si>
  <si>
    <t>Lw = Lp + 10*log10(S)-K2, where K2 = 10*log10(1+4*S/A)</t>
  </si>
  <si>
    <t>michele.gregorelli@studenti.unipr.it</t>
  </si>
  <si>
    <t>Gregorelli Michele</t>
  </si>
  <si>
    <t>72,28 dB(A)</t>
  </si>
  <si>
    <t>100.29 dB(A)</t>
  </si>
  <si>
    <t>mounisha.minumula@studenti.unipr.it</t>
  </si>
  <si>
    <t xml:space="preserve">Minumulamounisha </t>
  </si>
  <si>
    <t>73.779517dB(A)</t>
  </si>
  <si>
    <t>82.8567 dB(A)</t>
  </si>
  <si>
    <t>81.0336 dB(A)</t>
  </si>
  <si>
    <t>lucia.gallegoolivares@studenti.unipr.it</t>
  </si>
  <si>
    <t>GALLEGO OLIVARES, LUCIA</t>
  </si>
  <si>
    <t>72.62 dB(A)</t>
  </si>
  <si>
    <t>75.17 dB(A)</t>
  </si>
  <si>
    <t>81.68 dB(A)</t>
  </si>
  <si>
    <t>52.63 dB(A)</t>
  </si>
  <si>
    <t>N.</t>
  </si>
  <si>
    <t>Applied Acoustics - 07/12/2018</t>
  </si>
  <si>
    <r>
      <t>1) Compute the value of L</t>
    </r>
    <r>
      <rPr>
        <vertAlign val="subscript"/>
        <sz val="11"/>
        <color rgb="FF000000"/>
        <rFont val="Calibri"/>
        <family val="2"/>
      </rPr>
      <t>A,eq</t>
    </r>
    <r>
      <rPr>
        <sz val="11"/>
        <color rgb="FF000000"/>
        <rFont val="Calibri"/>
        <family val="2"/>
      </rPr>
      <t xml:space="preserve"> at the end of a measurement, during which the SPL was 60+F dB(A) for 1+D hours, 65+E dB(A) for 2+C/3 hours and 63+D dB(A) for 3h.</t>
    </r>
  </si>
  <si>
    <t xml:space="preserve">2) The traffic along a road, during the day period (06-22), is of 10000+E·1000 cars. The SEL of a single car pass-by is equal to 80+F dB(A) </t>
  </si>
  <si>
    <t>write number and measurement unit (with a space in between and no other spaces)</t>
  </si>
  <si>
    <t xml:space="preserve"> </t>
  </si>
  <si>
    <r>
      <t>6) What is the correct definition of L</t>
    </r>
    <r>
      <rPr>
        <vertAlign val="subscript"/>
        <sz val="11"/>
        <color rgb="FF000000"/>
        <rFont val="Calibri"/>
        <family val="2"/>
      </rPr>
      <t>ep</t>
    </r>
    <r>
      <rPr>
        <sz val="11"/>
        <color rgb="FF000000"/>
        <rFont val="Calibri"/>
        <family val="2"/>
      </rPr>
      <t>?</t>
    </r>
  </si>
  <si>
    <t>(a single answer)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</si>
  <si>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equivalent level averaged over a period of 8 hours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</si>
  <si>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equivalent level averaged over a period of 16 hours (day)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</si>
  <si>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equivalent level averaged over the effective duration of the daily work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</si>
  <si>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equivalent level averaged over the effective duration of the daily work, T, packed to 8 hours adding +10*log10(T/8h)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</si>
  <si>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</t>
    </r>
    <r>
      <rPr>
        <vertAlign val="subscript"/>
        <sz val="11"/>
        <color rgb="FF000000"/>
        <rFont val="Calibri"/>
        <family val="2"/>
      </rPr>
      <t>ep</t>
    </r>
    <r>
      <rPr>
        <sz val="11"/>
        <color rgb="FF000000"/>
        <rFont val="Calibri"/>
        <family val="2"/>
      </rPr>
      <t xml:space="preserve"> is the same as the Single Event Level (SEL)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</si>
  <si>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</t>
    </r>
    <r>
      <rPr>
        <vertAlign val="subscript"/>
        <sz val="11"/>
        <color rgb="FF000000"/>
        <rFont val="Calibri"/>
        <family val="2"/>
      </rPr>
      <t>ep</t>
    </r>
    <r>
      <rPr>
        <sz val="11"/>
        <color rgb="FF000000"/>
        <rFont val="Calibri"/>
        <family val="2"/>
      </rPr>
      <t>, followed by a number, is the Percentile level: L</t>
    </r>
    <r>
      <rPr>
        <vertAlign val="subscript"/>
        <sz val="11"/>
        <color rgb="FF000000"/>
        <rFont val="Calibri"/>
        <family val="2"/>
      </rPr>
      <t>ep10</t>
    </r>
    <r>
      <rPr>
        <sz val="11"/>
        <color rgb="FF000000"/>
        <rFont val="Calibri"/>
        <family val="2"/>
      </rPr>
      <t>, L</t>
    </r>
    <r>
      <rPr>
        <vertAlign val="subscript"/>
        <sz val="11"/>
        <color rgb="FF000000"/>
        <rFont val="Calibri"/>
        <family val="2"/>
      </rPr>
      <t>ep50</t>
    </r>
    <r>
      <rPr>
        <sz val="11"/>
        <color rgb="FF000000"/>
        <rFont val="Calibri"/>
        <family val="2"/>
      </rPr>
      <t>, L</t>
    </r>
    <r>
      <rPr>
        <vertAlign val="subscript"/>
        <sz val="11"/>
        <color rgb="FF000000"/>
        <rFont val="Calibri"/>
        <family val="2"/>
      </rPr>
      <t>ep90</t>
    </r>
    <r>
      <rPr>
        <sz val="11"/>
        <color rgb="FF000000"/>
        <rFont val="Calibri"/>
        <family val="2"/>
      </rPr>
      <t>, etc.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</si>
  <si>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Leq,day and Leq,night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</si>
  <si>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the SPL generated by a sound source and the background noise level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</si>
  <si>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the total environmental noise level and the residual noise level (which means L</t>
    </r>
    <r>
      <rPr>
        <vertAlign val="subscript"/>
        <sz val="11"/>
        <color rgb="FF000000"/>
        <rFont val="Calibri"/>
        <family val="2"/>
      </rPr>
      <t>A,eq</t>
    </r>
    <r>
      <rPr>
        <sz val="11"/>
        <color rgb="FF000000"/>
        <rFont val="Calibri"/>
        <family val="2"/>
      </rPr>
      <t xml:space="preserve"> with a specific sound source switched off), both measured on short times (a few minutes).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</si>
  <si>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the SPL generated by a specific sound source and the residual level measured with that specific sound source turned off.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</si>
  <si>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the SPL outside (at 1m from the closed window) and the SPL inside the room 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</si>
  <si>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Lw = Lp + 11 + 20*log10(r)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</si>
  <si>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Lw = Lp + 11 + 20*log10(r) - 10*log10(Q)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</si>
  <si>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Lw = Lp - 10*log10[Q/(4*π*r²)+4/A]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</si>
  <si>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Lw = Lp + 10*log10(S)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</si>
  <si>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Lw = Lp + 10*log10(S)-K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, where K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= 10*log10(1+4*S/A)</t>
    </r>
  </si>
  <si>
    <r>
      <t>L</t>
    </r>
    <r>
      <rPr>
        <vertAlign val="subscript"/>
        <sz val="11"/>
        <color rgb="FF000000"/>
        <rFont val="Calibri"/>
        <family val="2"/>
      </rPr>
      <t>A,eq</t>
    </r>
    <r>
      <rPr>
        <sz val="11"/>
        <color rgb="FF000000"/>
        <rFont val="Calibri"/>
        <family val="2"/>
      </rPr>
      <t xml:space="preserve"> = 10*log10((t1*10^(L1/10)+t2*10(L2/10)+t3*10^(L3/10))/(t1+t2+t3)) =</t>
    </r>
  </si>
  <si>
    <t>dB(A)</t>
  </si>
  <si>
    <r>
      <t>at the standard distance of 7.5m. Compute L</t>
    </r>
    <r>
      <rPr>
        <vertAlign val="subscript"/>
        <sz val="11"/>
        <color rgb="FF000000"/>
        <rFont val="Calibri"/>
        <family val="2"/>
      </rPr>
      <t>A,eq,day</t>
    </r>
    <r>
      <rPr>
        <sz val="11"/>
        <color rgb="FF000000"/>
        <rFont val="Calibri"/>
        <family val="2"/>
      </rPr>
      <t xml:space="preserve"> at a distance of 40+E m.</t>
    </r>
  </si>
  <si>
    <r>
      <t>3) Compute the value of L</t>
    </r>
    <r>
      <rPr>
        <vertAlign val="subscript"/>
        <sz val="11"/>
        <color rgb="FF000000"/>
        <rFont val="Calibri"/>
        <family val="2"/>
      </rPr>
      <t>ep</t>
    </r>
    <r>
      <rPr>
        <sz val="11"/>
        <color rgb="FF000000"/>
        <rFont val="Calibri"/>
        <family val="2"/>
      </rPr>
      <t xml:space="preserve"> for a worker spending a daily period of 8+F/2 h inside a factory where the background noise level is 75+E dB(A) and subject to 50+D*10 events having a SEL of 100+F dB)(A) each.</t>
    </r>
    <r>
      <rPr>
        <i/>
        <sz val="11"/>
        <color rgb="FF000000"/>
        <rFont val="Calibri"/>
        <family val="2"/>
      </rPr>
      <t xml:space="preserve"> </t>
    </r>
  </si>
  <si>
    <r>
      <t>L</t>
    </r>
    <r>
      <rPr>
        <vertAlign val="subscript"/>
        <sz val="11"/>
        <color rgb="FF000000"/>
        <rFont val="Calibri"/>
        <family val="2"/>
      </rPr>
      <t>A,eq,day</t>
    </r>
    <r>
      <rPr>
        <sz val="11"/>
        <color rgb="FF000000"/>
        <rFont val="Calibri"/>
        <family val="2"/>
      </rPr>
      <t xml:space="preserve"> = SEL</t>
    </r>
    <r>
      <rPr>
        <vertAlign val="subscript"/>
        <sz val="11"/>
        <color rgb="FF000000"/>
        <rFont val="Calibri"/>
        <family val="2"/>
      </rPr>
      <t>1car</t>
    </r>
    <r>
      <rPr>
        <sz val="11"/>
        <color rgb="FF000000"/>
        <rFont val="Calibri"/>
        <family val="2"/>
      </rPr>
      <t xml:space="preserve"> + 10*log10(N</t>
    </r>
    <r>
      <rPr>
        <vertAlign val="subscript"/>
        <sz val="11"/>
        <color rgb="FF000000"/>
        <rFont val="Calibri"/>
        <family val="2"/>
      </rPr>
      <t>cars</t>
    </r>
    <r>
      <rPr>
        <sz val="11"/>
        <color rgb="FF000000"/>
        <rFont val="Calibri"/>
        <family val="2"/>
      </rPr>
      <t>)-10*log10(T)+10*log10(7.5/d) =</t>
    </r>
  </si>
  <si>
    <r>
      <t>SEL</t>
    </r>
    <r>
      <rPr>
        <vertAlign val="subscript"/>
        <sz val="11"/>
        <color rgb="FF000000"/>
        <rFont val="Calibri"/>
        <family val="2"/>
      </rPr>
      <t>background</t>
    </r>
    <r>
      <rPr>
        <sz val="11"/>
        <color rgb="FF000000"/>
        <rFont val="Calibri"/>
        <family val="2"/>
      </rPr>
      <t>= Leq+10*log10(Te) =</t>
    </r>
  </si>
  <si>
    <r>
      <t>SEL</t>
    </r>
    <r>
      <rPr>
        <vertAlign val="subscript"/>
        <sz val="11"/>
        <color rgb="FF000000"/>
        <rFont val="Calibri"/>
        <family val="2"/>
      </rPr>
      <t>events</t>
    </r>
    <r>
      <rPr>
        <sz val="11"/>
        <color rgb="FF000000"/>
        <rFont val="Calibri"/>
        <family val="2"/>
      </rPr>
      <t xml:space="preserve"> = SEL</t>
    </r>
    <r>
      <rPr>
        <vertAlign val="subscript"/>
        <sz val="11"/>
        <color rgb="FF000000"/>
        <rFont val="Calibri"/>
        <family val="2"/>
      </rPr>
      <t>1event</t>
    </r>
    <r>
      <rPr>
        <sz val="11"/>
        <color rgb="FF000000"/>
        <rFont val="Calibri"/>
        <family val="2"/>
      </rPr>
      <t>+10*log10(N</t>
    </r>
    <r>
      <rPr>
        <vertAlign val="subscript"/>
        <sz val="11"/>
        <color rgb="FF000000"/>
        <rFont val="Calibri"/>
        <family val="2"/>
      </rPr>
      <t>events</t>
    </r>
    <r>
      <rPr>
        <sz val="11"/>
        <color rgb="FF000000"/>
        <rFont val="Calibri"/>
        <family val="2"/>
      </rPr>
      <t>) =</t>
    </r>
  </si>
  <si>
    <r>
      <t>SELtot =10*log10(10^(SEL</t>
    </r>
    <r>
      <rPr>
        <vertAlign val="subscript"/>
        <sz val="11"/>
        <color rgb="FF000000"/>
        <rFont val="Calibri"/>
        <family val="2"/>
      </rPr>
      <t>background</t>
    </r>
    <r>
      <rPr>
        <sz val="11"/>
        <color rgb="FF000000"/>
        <rFont val="Calibri"/>
        <family val="2"/>
      </rPr>
      <t>/10)+10^(SEL</t>
    </r>
    <r>
      <rPr>
        <vertAlign val="subscript"/>
        <sz val="11"/>
        <color rgb="FF000000"/>
        <rFont val="Calibri"/>
        <family val="2"/>
      </rPr>
      <t>events</t>
    </r>
    <r>
      <rPr>
        <sz val="11"/>
        <color rgb="FF000000"/>
        <rFont val="Calibri"/>
        <family val="2"/>
      </rPr>
      <t>/10)) =</t>
    </r>
  </si>
  <si>
    <r>
      <t>L</t>
    </r>
    <r>
      <rPr>
        <vertAlign val="subscript"/>
        <sz val="11"/>
        <color rgb="FF000000"/>
        <rFont val="Calibri"/>
        <family val="2"/>
      </rPr>
      <t>ep</t>
    </r>
    <r>
      <rPr>
        <sz val="11"/>
        <color rgb="FF000000"/>
        <rFont val="Calibri"/>
        <family val="2"/>
      </rPr>
      <t xml:space="preserve"> = SEL</t>
    </r>
    <r>
      <rPr>
        <vertAlign val="subscript"/>
        <sz val="11"/>
        <color rgb="FF000000"/>
        <rFont val="Calibri"/>
        <family val="2"/>
      </rPr>
      <t>tot</t>
    </r>
    <r>
      <rPr>
        <sz val="11"/>
        <color rgb="FF000000"/>
        <rFont val="Calibri"/>
        <family val="2"/>
      </rPr>
      <t xml:space="preserve"> -10*log10(8h) =</t>
    </r>
  </si>
  <si>
    <t>f (Hz)</t>
  </si>
  <si>
    <t>SPL (dB)</t>
  </si>
  <si>
    <t>Aw (dB)</t>
  </si>
  <si>
    <t>Total</t>
  </si>
  <si>
    <t>Energy</t>
  </si>
  <si>
    <t>SPL (dBA)</t>
  </si>
  <si>
    <t>N (Fresnel)</t>
  </si>
  <si>
    <t>Delta L</t>
  </si>
  <si>
    <t>Matricula Number</t>
  </si>
  <si>
    <t>A</t>
  </si>
  <si>
    <t>B</t>
  </si>
  <si>
    <t>C</t>
  </si>
  <si>
    <t>D</t>
  </si>
  <si>
    <t>E</t>
  </si>
  <si>
    <t>F</t>
  </si>
  <si>
    <t>OK value</t>
  </si>
  <si>
    <t>OK unit</t>
  </si>
  <si>
    <t>Score</t>
  </si>
  <si>
    <t>Bonus</t>
  </si>
  <si>
    <t>Total Score</t>
  </si>
  <si>
    <t>Colour markings:</t>
  </si>
  <si>
    <t>wrong or missing measurement unit (ERROR!)</t>
  </si>
  <si>
    <t>Note: 0 points if the number is still OK, -1 if the number is also wrong</t>
  </si>
  <si>
    <t>decimal comma instead of decimal dot (not error, this time)</t>
  </si>
  <si>
    <t>missing space between number and measurmenet unit (not error, this time)</t>
  </si>
  <si>
    <t>Results from Solution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</si>
</sst>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9" formatCode="0.0"/>
  </numFmts>
  <fonts count="19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4"/>
    </xf>
    <xf numFmtId="0" fontId="12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4" fillId="0" borderId="2" xfId="0" applyFont="1" applyBorder="1" applyAlignment="1">
      <alignment vertical="center"/>
    </xf>
    <xf numFmtId="169" fontId="4" fillId="0" borderId="1" xfId="0" applyNumberFormat="1" applyFont="1" applyBorder="1" applyAlignment="1">
      <alignment vertical="center"/>
    </xf>
    <xf numFmtId="0" fontId="14" fillId="0" borderId="0" xfId="0" applyFont="1" applyAlignment="1"/>
    <xf numFmtId="0" fontId="11" fillId="0" borderId="0" xfId="0" applyFont="1" applyAlignment="1"/>
    <xf numFmtId="0" fontId="0" fillId="0" borderId="0" xfId="0"/>
    <xf numFmtId="0" fontId="0" fillId="0" borderId="0" xfId="0" applyAlignment="1">
      <alignment horizontal="right"/>
    </xf>
    <xf numFmtId="169" fontId="3" fillId="0" borderId="1" xfId="0" applyNumberFormat="1" applyFont="1" applyBorder="1"/>
    <xf numFmtId="0" fontId="3" fillId="0" borderId="2" xfId="0" applyFont="1" applyBorder="1"/>
    <xf numFmtId="0" fontId="15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" fillId="4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/>
    <xf numFmtId="0" fontId="16" fillId="3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0" xfId="0" applyFont="1" applyFill="1" applyAlignment="1"/>
    <xf numFmtId="0" fontId="1" fillId="0" borderId="0" xfId="0" applyFont="1" applyFill="1" applyBorder="1" applyAlignment="1"/>
    <xf numFmtId="0" fontId="2" fillId="7" borderId="0" xfId="0" applyFont="1" applyFill="1" applyAlignment="1">
      <alignment horizontal="left"/>
    </xf>
    <xf numFmtId="0" fontId="0" fillId="7" borderId="0" xfId="0" applyFont="1" applyFill="1" applyAlignment="1"/>
    <xf numFmtId="0" fontId="2" fillId="8" borderId="0" xfId="0" applyFont="1" applyFill="1" applyAlignment="1">
      <alignment horizontal="left"/>
    </xf>
    <xf numFmtId="0" fontId="0" fillId="8" borderId="0" xfId="0" applyFont="1" applyFill="1" applyAlignment="1"/>
    <xf numFmtId="0" fontId="1" fillId="7" borderId="3" xfId="0" applyFont="1" applyFill="1" applyBorder="1" applyAlignment="1"/>
    <xf numFmtId="0" fontId="1" fillId="8" borderId="3" xfId="0" applyFont="1" applyFill="1" applyBorder="1" applyAlignment="1"/>
    <xf numFmtId="0" fontId="1" fillId="6" borderId="3" xfId="0" applyFont="1" applyFill="1" applyBorder="1" applyAlignment="1"/>
    <xf numFmtId="0" fontId="18" fillId="9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1">
    <cellStyle name="Normal" xfId="0" builtinId="0"/>
  </cellStyles>
  <dxfs count="49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25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3" sqref="F3"/>
    </sheetView>
  </sheetViews>
  <sheetFormatPr defaultColWidth="14.42578125" defaultRowHeight="15.75" customHeight="1" x14ac:dyDescent="0.2"/>
  <cols>
    <col min="1" max="1" width="5.42578125" style="23" customWidth="1"/>
    <col min="2" max="2" width="17.42578125" style="23" customWidth="1"/>
    <col min="3" max="4" width="21.5703125" customWidth="1"/>
    <col min="5" max="5" width="9.7109375" style="23" customWidth="1"/>
    <col min="6" max="6" width="7.42578125" style="23" customWidth="1"/>
    <col min="7" max="7" width="21.5703125" customWidth="1"/>
    <col min="8" max="10" width="7.140625" customWidth="1"/>
    <col min="11" max="11" width="29.140625" customWidth="1"/>
    <col min="12" max="12" width="8" customWidth="1"/>
    <col min="13" max="13" width="6.85546875" customWidth="1"/>
    <col min="14" max="14" width="8" customWidth="1"/>
    <col min="15" max="15" width="28.85546875" customWidth="1"/>
    <col min="16" max="16" width="7.42578125" customWidth="1"/>
    <col min="17" max="17" width="6.42578125" customWidth="1"/>
    <col min="18" max="18" width="7.42578125" customWidth="1"/>
    <col min="19" max="19" width="24" customWidth="1"/>
    <col min="20" max="22" width="7" customWidth="1"/>
    <col min="23" max="23" width="25.28515625" customWidth="1"/>
    <col min="24" max="26" width="6.5703125" customWidth="1"/>
    <col min="27" max="27" width="21.5703125" customWidth="1"/>
    <col min="28" max="28" width="6.85546875" customWidth="1"/>
    <col min="29" max="29" width="21.5703125" customWidth="1"/>
    <col min="30" max="30" width="7.140625" customWidth="1"/>
    <col min="31" max="31" width="27.28515625" customWidth="1"/>
    <col min="32" max="32" width="6.85546875" customWidth="1"/>
    <col min="33" max="33" width="8.140625" customWidth="1"/>
    <col min="34" max="37" width="21.5703125" customWidth="1"/>
  </cols>
  <sheetData>
    <row r="1" spans="1:33" ht="113.25" customHeight="1" x14ac:dyDescent="0.2">
      <c r="A1" s="24" t="s">
        <v>108</v>
      </c>
      <c r="B1" s="24" t="s">
        <v>0</v>
      </c>
      <c r="C1" s="27" t="s">
        <v>1</v>
      </c>
      <c r="D1" s="27" t="s">
        <v>2</v>
      </c>
      <c r="E1" s="24" t="s">
        <v>3</v>
      </c>
      <c r="F1" s="24" t="s">
        <v>159</v>
      </c>
      <c r="G1" s="27" t="s">
        <v>4</v>
      </c>
      <c r="H1" s="24" t="s">
        <v>156</v>
      </c>
      <c r="I1" s="24" t="s">
        <v>157</v>
      </c>
      <c r="J1" s="24" t="s">
        <v>158</v>
      </c>
      <c r="K1" s="27" t="s">
        <v>5</v>
      </c>
      <c r="L1" s="24" t="s">
        <v>156</v>
      </c>
      <c r="M1" s="24" t="s">
        <v>157</v>
      </c>
      <c r="N1" s="24" t="s">
        <v>158</v>
      </c>
      <c r="O1" s="27" t="s">
        <v>6</v>
      </c>
      <c r="P1" s="24" t="s">
        <v>156</v>
      </c>
      <c r="Q1" s="24" t="s">
        <v>157</v>
      </c>
      <c r="R1" s="24" t="s">
        <v>158</v>
      </c>
      <c r="S1" s="27" t="s">
        <v>7</v>
      </c>
      <c r="T1" s="24" t="s">
        <v>156</v>
      </c>
      <c r="U1" s="24" t="s">
        <v>157</v>
      </c>
      <c r="V1" s="24" t="s">
        <v>158</v>
      </c>
      <c r="W1" s="27" t="s">
        <v>8</v>
      </c>
      <c r="X1" s="24" t="s">
        <v>156</v>
      </c>
      <c r="Y1" s="24" t="s">
        <v>157</v>
      </c>
      <c r="Z1" s="24" t="s">
        <v>158</v>
      </c>
      <c r="AA1" s="27" t="s">
        <v>9</v>
      </c>
      <c r="AB1" s="24" t="s">
        <v>158</v>
      </c>
      <c r="AC1" s="27" t="s">
        <v>10</v>
      </c>
      <c r="AD1" s="24" t="s">
        <v>158</v>
      </c>
      <c r="AE1" s="27" t="s">
        <v>11</v>
      </c>
      <c r="AF1" s="24" t="s">
        <v>158</v>
      </c>
      <c r="AG1" s="31" t="s">
        <v>160</v>
      </c>
    </row>
    <row r="2" spans="1:33" ht="15.75" customHeight="1" x14ac:dyDescent="0.2">
      <c r="A2" s="20">
        <v>1</v>
      </c>
      <c r="B2" s="28">
        <v>43441.728720925923</v>
      </c>
      <c r="C2" s="25" t="s">
        <v>12</v>
      </c>
      <c r="D2" s="25" t="s">
        <v>13</v>
      </c>
      <c r="E2" s="29">
        <v>288771</v>
      </c>
      <c r="F2" s="26">
        <v>2</v>
      </c>
      <c r="G2" s="25" t="s">
        <v>14</v>
      </c>
      <c r="H2" s="33">
        <v>68.620999999999995</v>
      </c>
      <c r="I2" s="25" t="s">
        <v>133</v>
      </c>
      <c r="J2" s="32">
        <f>IF(G2="",0,IF(EXACT(RIGHT(G2,5),"dB(A)"),IF(ABS(VALUE(LEFT(G2,FIND(" ",G2,1)))-H2)&lt;=0.5,1,0),-1))</f>
        <v>1</v>
      </c>
      <c r="K2" s="30"/>
      <c r="L2" s="33">
        <v>67.52</v>
      </c>
      <c r="M2" s="25" t="s">
        <v>133</v>
      </c>
      <c r="N2" s="32">
        <f t="shared" ref="N2:N17" si="0">IF(K2="",0,IF(EXACT(RIGHT(K2,5),"dB(A)"),IF(ABS(VALUE(LEFT(K2,FIND(" ",K2,1)))-L2)&lt;=0.5,1,0),-1))</f>
        <v>0</v>
      </c>
      <c r="O2" s="30"/>
      <c r="P2" s="33">
        <v>83.441000000000003</v>
      </c>
      <c r="Q2" s="25" t="s">
        <v>133</v>
      </c>
      <c r="R2" s="32">
        <f t="shared" ref="R2:R17" si="1">IF(O2="",0,IF(EXACT(RIGHT(O2,5),"dB(A)"),IF(ABS(VALUE(LEFT(O2,FIND(" ",O2,1)))-P2)&lt;=0.5,1,0),-1))</f>
        <v>0</v>
      </c>
      <c r="S2" s="30"/>
      <c r="T2" s="33">
        <v>73.683999999999997</v>
      </c>
      <c r="U2" s="25" t="s">
        <v>133</v>
      </c>
      <c r="V2" s="32">
        <f t="shared" ref="V2:V17" si="2">IF(S2="",0,IF(EXACT(RIGHT(S2,5),"dB(A)"),IF(ABS(VALUE(LEFT(S2,FIND(" ",S2,1)))-T2)&lt;=0.5,1,0),-1))</f>
        <v>0</v>
      </c>
      <c r="W2" s="30"/>
      <c r="X2" s="33">
        <v>45.97</v>
      </c>
      <c r="Y2" s="25" t="s">
        <v>133</v>
      </c>
      <c r="Z2" s="32">
        <f t="shared" ref="Z2:Z17" si="3">IF(W2="",0,IF(EXACT(RIGHT(W2,5),"dB(A)"),IF(ABS(VALUE(LEFT(W2,FIND(" ",W2,1)))-X2)&lt;=0.5,1,0),-1))</f>
        <v>0</v>
      </c>
      <c r="AA2" s="25" t="s">
        <v>15</v>
      </c>
      <c r="AB2" s="45">
        <f>IF(AA2="",0,IF(AA2="The equivalent level averaged over the effective duration of the daily work, T, packed to 8 hours adding +10*log10(T/8h)",1,-1))</f>
        <v>1</v>
      </c>
      <c r="AC2" s="25" t="s">
        <v>16</v>
      </c>
      <c r="AD2" s="45">
        <f>IF(AC2="",0,IF(AC2="The difference between the total environmental noise level and the residual noise level (which means LA,eq with a specific sound source switched off), both measured on short times (a few minutes).",1,-1))</f>
        <v>1</v>
      </c>
      <c r="AE2" s="30"/>
      <c r="AF2" s="45">
        <f>IF(AE2="",0,IF(AE2="Lw = Lp + 10*log10(S)-K2, where K2 = 10*log10(1+4*S/A)",1,-1))</f>
        <v>0</v>
      </c>
      <c r="AG2" s="46">
        <f>F2+J2+N2+R2+V2+Z2+AB2+AD2+AF2</f>
        <v>5</v>
      </c>
    </row>
    <row r="3" spans="1:33" ht="15.75" customHeight="1" x14ac:dyDescent="0.2">
      <c r="A3" s="20">
        <v>2</v>
      </c>
      <c r="B3" s="28">
        <v>43441.731031087962</v>
      </c>
      <c r="C3" s="25" t="s">
        <v>17</v>
      </c>
      <c r="D3" s="25" t="s">
        <v>18</v>
      </c>
      <c r="E3" s="29">
        <v>289673</v>
      </c>
      <c r="F3" s="26">
        <v>2</v>
      </c>
      <c r="G3" s="25" t="s">
        <v>19</v>
      </c>
      <c r="H3" s="33">
        <v>68.921999999999997</v>
      </c>
      <c r="I3" s="25" t="s">
        <v>133</v>
      </c>
      <c r="J3" s="32">
        <f t="shared" ref="J3:J17" si="4">IF(G3="",0,IF(EXACT(RIGHT(G3,5),"dB(A)"),IF(ABS(VALUE(LEFT(G3,FIND(" ",G3,1)))-H3)&lt;=0.5,1,0),-1))</f>
        <v>1</v>
      </c>
      <c r="K3" s="25" t="s">
        <v>20</v>
      </c>
      <c r="L3" s="33">
        <v>69.522300000000001</v>
      </c>
      <c r="M3" s="25" t="s">
        <v>133</v>
      </c>
      <c r="N3" s="32">
        <f t="shared" si="0"/>
        <v>1</v>
      </c>
      <c r="O3" s="25" t="s">
        <v>21</v>
      </c>
      <c r="P3" s="33">
        <v>84.222999999999999</v>
      </c>
      <c r="Q3" s="25" t="s">
        <v>133</v>
      </c>
      <c r="R3" s="32">
        <f t="shared" si="1"/>
        <v>1</v>
      </c>
      <c r="S3" s="25" t="s">
        <v>22</v>
      </c>
      <c r="T3" s="33">
        <v>75.683999999999997</v>
      </c>
      <c r="U3" s="25" t="s">
        <v>133</v>
      </c>
      <c r="V3" s="32">
        <f t="shared" si="2"/>
        <v>0</v>
      </c>
      <c r="W3" s="25" t="s">
        <v>23</v>
      </c>
      <c r="X3" s="33">
        <v>48.25</v>
      </c>
      <c r="Y3" s="25" t="s">
        <v>133</v>
      </c>
      <c r="Z3" s="32">
        <f t="shared" si="3"/>
        <v>0</v>
      </c>
      <c r="AA3" s="25" t="s">
        <v>15</v>
      </c>
      <c r="AB3" s="45">
        <f t="shared" ref="AB3:AB17" si="5">IF(AA3="",0,IF(AA3="The equivalent level averaged over the effective duration of the daily work, T, packed to 8 hours adding +10*log10(T/8h)",1,-1))</f>
        <v>1</v>
      </c>
      <c r="AC3" s="25" t="s">
        <v>16</v>
      </c>
      <c r="AD3" s="45">
        <f t="shared" ref="AD3:AD17" si="6">IF(AC3="",0,IF(AC3="The difference between the total environmental noise level and the residual noise level (which means LA,eq with a specific sound source switched off), both measured on short times (a few minutes).",1,-1))</f>
        <v>1</v>
      </c>
      <c r="AE3" s="25" t="s">
        <v>24</v>
      </c>
      <c r="AF3" s="45">
        <f t="shared" ref="AF3:AF17" si="7">IF(AE3="",0,IF(AE3="Lw = Lp + 10*log10(S)-K2, where K2 = 10*log10(1+4*S/A)",1,-1))</f>
        <v>-1</v>
      </c>
      <c r="AG3" s="46">
        <f t="shared" ref="AG3:AG17" si="8">F3+J3+N3+R3+V3+Z3+AB3+AD3+AF3</f>
        <v>6</v>
      </c>
    </row>
    <row r="4" spans="1:33" ht="15.75" customHeight="1" x14ac:dyDescent="0.2">
      <c r="A4" s="20">
        <v>3</v>
      </c>
      <c r="B4" s="28">
        <v>43441.732467870374</v>
      </c>
      <c r="C4" s="25" t="s">
        <v>25</v>
      </c>
      <c r="D4" s="25" t="s">
        <v>26</v>
      </c>
      <c r="E4" s="29">
        <v>281356</v>
      </c>
      <c r="F4" s="26">
        <v>2</v>
      </c>
      <c r="G4" s="25" t="s">
        <v>27</v>
      </c>
      <c r="H4" s="33">
        <v>67.391999999999996</v>
      </c>
      <c r="I4" s="25" t="s">
        <v>133</v>
      </c>
      <c r="J4" s="32">
        <f t="shared" si="4"/>
        <v>0</v>
      </c>
      <c r="K4" s="25" t="s">
        <v>28</v>
      </c>
      <c r="L4" s="33">
        <v>72.167599999999993</v>
      </c>
      <c r="M4" s="25" t="s">
        <v>133</v>
      </c>
      <c r="N4" s="32">
        <f t="shared" si="0"/>
        <v>1</v>
      </c>
      <c r="O4" s="25" t="s">
        <v>29</v>
      </c>
      <c r="P4" s="33">
        <v>83.945999999999998</v>
      </c>
      <c r="Q4" s="25" t="s">
        <v>133</v>
      </c>
      <c r="R4" s="32">
        <f t="shared" si="1"/>
        <v>0</v>
      </c>
      <c r="S4" s="25" t="s">
        <v>30</v>
      </c>
      <c r="T4" s="33">
        <v>78.683999999999997</v>
      </c>
      <c r="U4" s="25" t="s">
        <v>133</v>
      </c>
      <c r="V4" s="32">
        <f t="shared" si="2"/>
        <v>0</v>
      </c>
      <c r="W4" s="30"/>
      <c r="X4" s="33">
        <v>50.36</v>
      </c>
      <c r="Y4" s="25" t="s">
        <v>133</v>
      </c>
      <c r="Z4" s="32">
        <f t="shared" si="3"/>
        <v>0</v>
      </c>
      <c r="AA4" s="25" t="s">
        <v>31</v>
      </c>
      <c r="AB4" s="45">
        <f t="shared" si="5"/>
        <v>-1</v>
      </c>
      <c r="AC4" s="25" t="s">
        <v>16</v>
      </c>
      <c r="AD4" s="45">
        <f t="shared" si="6"/>
        <v>1</v>
      </c>
      <c r="AE4" s="30"/>
      <c r="AF4" s="45">
        <f t="shared" si="7"/>
        <v>0</v>
      </c>
      <c r="AG4" s="46">
        <f t="shared" si="8"/>
        <v>3</v>
      </c>
    </row>
    <row r="5" spans="1:33" ht="15.75" customHeight="1" x14ac:dyDescent="0.2">
      <c r="A5" s="20">
        <v>4</v>
      </c>
      <c r="B5" s="28">
        <v>43441.732908194448</v>
      </c>
      <c r="C5" s="25" t="s">
        <v>32</v>
      </c>
      <c r="D5" s="25" t="s">
        <v>33</v>
      </c>
      <c r="E5" s="29">
        <v>289671</v>
      </c>
      <c r="F5" s="26">
        <v>2</v>
      </c>
      <c r="G5" s="25" t="s">
        <v>34</v>
      </c>
      <c r="H5" s="33">
        <v>68.727000000000004</v>
      </c>
      <c r="I5" s="25" t="s">
        <v>133</v>
      </c>
      <c r="J5" s="32">
        <f t="shared" si="4"/>
        <v>1</v>
      </c>
      <c r="K5" s="25" t="s">
        <v>35</v>
      </c>
      <c r="L5" s="33">
        <v>67.522300000000001</v>
      </c>
      <c r="M5" s="25" t="s">
        <v>133</v>
      </c>
      <c r="N5" s="32">
        <f t="shared" si="0"/>
        <v>0</v>
      </c>
      <c r="O5" s="25" t="s">
        <v>36</v>
      </c>
      <c r="P5" s="33">
        <v>83.353999999999999</v>
      </c>
      <c r="Q5" s="25" t="s">
        <v>133</v>
      </c>
      <c r="R5" s="32">
        <f t="shared" si="1"/>
        <v>0</v>
      </c>
      <c r="S5" s="25" t="s">
        <v>37</v>
      </c>
      <c r="T5" s="33">
        <v>73.683999999999997</v>
      </c>
      <c r="U5" s="25" t="s">
        <v>133</v>
      </c>
      <c r="V5" s="32">
        <f t="shared" si="2"/>
        <v>0</v>
      </c>
      <c r="W5" s="25" t="s">
        <v>38</v>
      </c>
      <c r="X5" s="33">
        <v>46.97</v>
      </c>
      <c r="Y5" s="25" t="s">
        <v>133</v>
      </c>
      <c r="Z5" s="32">
        <f t="shared" si="3"/>
        <v>0</v>
      </c>
      <c r="AA5" s="25" t="s">
        <v>15</v>
      </c>
      <c r="AB5" s="45">
        <f t="shared" si="5"/>
        <v>1</v>
      </c>
      <c r="AC5" s="25" t="s">
        <v>16</v>
      </c>
      <c r="AD5" s="45">
        <f t="shared" si="6"/>
        <v>1</v>
      </c>
      <c r="AE5" s="25" t="s">
        <v>24</v>
      </c>
      <c r="AF5" s="45">
        <f t="shared" si="7"/>
        <v>-1</v>
      </c>
      <c r="AG5" s="46">
        <f t="shared" si="8"/>
        <v>4</v>
      </c>
    </row>
    <row r="6" spans="1:33" ht="15.75" customHeight="1" x14ac:dyDescent="0.2">
      <c r="A6" s="20">
        <v>5</v>
      </c>
      <c r="B6" s="28">
        <v>43441.733543564813</v>
      </c>
      <c r="C6" s="25" t="s">
        <v>39</v>
      </c>
      <c r="D6" s="25" t="s">
        <v>40</v>
      </c>
      <c r="E6" s="29">
        <v>289638</v>
      </c>
      <c r="F6" s="26">
        <v>2</v>
      </c>
      <c r="G6" s="25" t="s">
        <v>41</v>
      </c>
      <c r="H6" s="33">
        <v>68.218999999999994</v>
      </c>
      <c r="I6" s="25" t="s">
        <v>133</v>
      </c>
      <c r="J6" s="32">
        <f t="shared" si="4"/>
        <v>1</v>
      </c>
      <c r="K6" s="25" t="s">
        <v>42</v>
      </c>
      <c r="L6" s="33">
        <v>73.743600000000001</v>
      </c>
      <c r="M6" s="25" t="s">
        <v>133</v>
      </c>
      <c r="N6" s="32">
        <f t="shared" si="0"/>
        <v>1</v>
      </c>
      <c r="O6" s="25" t="s">
        <v>43</v>
      </c>
      <c r="P6" s="33">
        <v>85.259</v>
      </c>
      <c r="Q6" s="25" t="s">
        <v>133</v>
      </c>
      <c r="R6" s="32">
        <f t="shared" si="1"/>
        <v>1</v>
      </c>
      <c r="S6" s="25" t="s">
        <v>44</v>
      </c>
      <c r="T6" s="33">
        <v>80.683999999999997</v>
      </c>
      <c r="U6" s="25" t="s">
        <v>133</v>
      </c>
      <c r="V6" s="32">
        <f t="shared" si="2"/>
        <v>1</v>
      </c>
      <c r="W6" s="30"/>
      <c r="X6" s="33">
        <v>51.86</v>
      </c>
      <c r="Y6" s="25" t="s">
        <v>133</v>
      </c>
      <c r="Z6" s="32">
        <f t="shared" si="3"/>
        <v>0</v>
      </c>
      <c r="AA6" s="25" t="s">
        <v>15</v>
      </c>
      <c r="AB6" s="45">
        <f t="shared" si="5"/>
        <v>1</v>
      </c>
      <c r="AC6" s="25" t="s">
        <v>16</v>
      </c>
      <c r="AD6" s="45">
        <f t="shared" si="6"/>
        <v>1</v>
      </c>
      <c r="AE6" s="30"/>
      <c r="AF6" s="45">
        <f t="shared" si="7"/>
        <v>0</v>
      </c>
      <c r="AG6" s="46">
        <f t="shared" si="8"/>
        <v>8</v>
      </c>
    </row>
    <row r="7" spans="1:33" ht="15.75" customHeight="1" x14ac:dyDescent="0.2">
      <c r="A7" s="20">
        <v>6</v>
      </c>
      <c r="B7" s="28">
        <v>43441.733684236111</v>
      </c>
      <c r="C7" s="25" t="s">
        <v>45</v>
      </c>
      <c r="D7" s="25" t="s">
        <v>46</v>
      </c>
      <c r="E7" s="29">
        <v>288169</v>
      </c>
      <c r="F7" s="26">
        <v>2</v>
      </c>
      <c r="G7" s="44" t="s">
        <v>47</v>
      </c>
      <c r="H7" s="33">
        <v>69.293999999999997</v>
      </c>
      <c r="I7" s="25" t="s">
        <v>133</v>
      </c>
      <c r="J7" s="32">
        <v>0</v>
      </c>
      <c r="K7" s="25" t="s">
        <v>48</v>
      </c>
      <c r="L7" s="33">
        <v>75.352500000000006</v>
      </c>
      <c r="M7" s="25" t="s">
        <v>133</v>
      </c>
      <c r="N7" s="32">
        <f t="shared" si="0"/>
        <v>1</v>
      </c>
      <c r="O7" s="25" t="s">
        <v>49</v>
      </c>
      <c r="P7" s="33">
        <v>85.588999999999999</v>
      </c>
      <c r="Q7" s="25" t="s">
        <v>133</v>
      </c>
      <c r="R7" s="32">
        <f t="shared" si="1"/>
        <v>0</v>
      </c>
      <c r="S7" s="25" t="s">
        <v>50</v>
      </c>
      <c r="T7" s="33">
        <v>81.683999999999997</v>
      </c>
      <c r="U7" s="25" t="s">
        <v>133</v>
      </c>
      <c r="V7" s="32">
        <f t="shared" si="2"/>
        <v>0</v>
      </c>
      <c r="W7" s="25" t="s">
        <v>51</v>
      </c>
      <c r="X7" s="33">
        <v>52.63</v>
      </c>
      <c r="Y7" s="25" t="s">
        <v>133</v>
      </c>
      <c r="Z7" s="32">
        <f t="shared" si="3"/>
        <v>1</v>
      </c>
      <c r="AA7" s="25" t="s">
        <v>31</v>
      </c>
      <c r="AB7" s="45">
        <f t="shared" si="5"/>
        <v>-1</v>
      </c>
      <c r="AC7" s="25" t="s">
        <v>16</v>
      </c>
      <c r="AD7" s="45">
        <f t="shared" si="6"/>
        <v>1</v>
      </c>
      <c r="AE7" s="25" t="s">
        <v>52</v>
      </c>
      <c r="AF7" s="45">
        <f t="shared" si="7"/>
        <v>-1</v>
      </c>
      <c r="AG7" s="46">
        <f t="shared" si="8"/>
        <v>3</v>
      </c>
    </row>
    <row r="8" spans="1:33" ht="15.75" customHeight="1" x14ac:dyDescent="0.2">
      <c r="A8" s="20">
        <v>7</v>
      </c>
      <c r="B8" s="28">
        <v>43441.735772592598</v>
      </c>
      <c r="C8" s="25" t="s">
        <v>53</v>
      </c>
      <c r="D8" s="25" t="s">
        <v>54</v>
      </c>
      <c r="E8" s="29">
        <v>299225</v>
      </c>
      <c r="F8" s="26">
        <v>2</v>
      </c>
      <c r="G8" s="25" t="s">
        <v>55</v>
      </c>
      <c r="H8" s="33">
        <v>66.024000000000001</v>
      </c>
      <c r="I8" s="25" t="s">
        <v>133</v>
      </c>
      <c r="J8" s="32">
        <f t="shared" si="4"/>
        <v>0</v>
      </c>
      <c r="K8" s="25" t="s">
        <v>37</v>
      </c>
      <c r="L8" s="33">
        <v>70.498199999999997</v>
      </c>
      <c r="M8" s="25" t="s">
        <v>133</v>
      </c>
      <c r="N8" s="32">
        <f t="shared" si="0"/>
        <v>0</v>
      </c>
      <c r="O8" s="25" t="s">
        <v>56</v>
      </c>
      <c r="P8" s="33">
        <v>81.542000000000002</v>
      </c>
      <c r="Q8" s="25" t="s">
        <v>133</v>
      </c>
      <c r="R8" s="32">
        <f t="shared" si="1"/>
        <v>0</v>
      </c>
      <c r="S8" s="25" t="s">
        <v>57</v>
      </c>
      <c r="T8" s="33">
        <v>77.683999999999997</v>
      </c>
      <c r="U8" s="25" t="s">
        <v>133</v>
      </c>
      <c r="V8" s="32">
        <f t="shared" si="2"/>
        <v>0</v>
      </c>
      <c r="W8" s="30"/>
      <c r="X8" s="33">
        <v>49.64</v>
      </c>
      <c r="Y8" s="25" t="s">
        <v>133</v>
      </c>
      <c r="Z8" s="32">
        <f t="shared" si="3"/>
        <v>0</v>
      </c>
      <c r="AA8" s="25" t="s">
        <v>15</v>
      </c>
      <c r="AB8" s="45">
        <f t="shared" si="5"/>
        <v>1</v>
      </c>
      <c r="AC8" s="30"/>
      <c r="AD8" s="45">
        <f t="shared" si="6"/>
        <v>0</v>
      </c>
      <c r="AE8" s="25" t="s">
        <v>52</v>
      </c>
      <c r="AF8" s="45">
        <f t="shared" si="7"/>
        <v>-1</v>
      </c>
      <c r="AG8" s="46">
        <f t="shared" si="8"/>
        <v>2</v>
      </c>
    </row>
    <row r="9" spans="1:33" ht="15.75" customHeight="1" x14ac:dyDescent="0.2">
      <c r="A9" s="20">
        <v>8</v>
      </c>
      <c r="B9" s="28">
        <v>43441.736110416663</v>
      </c>
      <c r="C9" s="25" t="s">
        <v>58</v>
      </c>
      <c r="D9" s="25" t="s">
        <v>59</v>
      </c>
      <c r="E9" s="29">
        <v>288204</v>
      </c>
      <c r="F9" s="26">
        <v>2</v>
      </c>
      <c r="G9" s="25" t="s">
        <v>60</v>
      </c>
      <c r="H9" s="33">
        <v>64.741</v>
      </c>
      <c r="I9" s="25" t="s">
        <v>133</v>
      </c>
      <c r="J9" s="32">
        <f t="shared" si="4"/>
        <v>1</v>
      </c>
      <c r="K9" s="25" t="s">
        <v>61</v>
      </c>
      <c r="L9" s="33">
        <v>68.918199999999999</v>
      </c>
      <c r="M9" s="25" t="s">
        <v>133</v>
      </c>
      <c r="N9" s="32">
        <f t="shared" si="0"/>
        <v>1</v>
      </c>
      <c r="O9" s="25" t="s">
        <v>62</v>
      </c>
      <c r="P9" s="33">
        <v>80.025000000000006</v>
      </c>
      <c r="Q9" s="25" t="s">
        <v>133</v>
      </c>
      <c r="R9" s="32">
        <f t="shared" si="1"/>
        <v>1</v>
      </c>
      <c r="S9" s="25" t="s">
        <v>63</v>
      </c>
      <c r="T9" s="33">
        <v>76.683999999999997</v>
      </c>
      <c r="U9" s="25" t="s">
        <v>133</v>
      </c>
      <c r="V9" s="32">
        <f t="shared" si="2"/>
        <v>1</v>
      </c>
      <c r="W9" s="25" t="s">
        <v>64</v>
      </c>
      <c r="X9" s="33">
        <v>48.94</v>
      </c>
      <c r="Y9" s="25" t="s">
        <v>133</v>
      </c>
      <c r="Z9" s="32">
        <f t="shared" si="3"/>
        <v>1</v>
      </c>
      <c r="AA9" s="25" t="s">
        <v>31</v>
      </c>
      <c r="AB9" s="45">
        <f t="shared" si="5"/>
        <v>-1</v>
      </c>
      <c r="AC9" s="25" t="s">
        <v>16</v>
      </c>
      <c r="AD9" s="45">
        <f t="shared" si="6"/>
        <v>1</v>
      </c>
      <c r="AE9" s="25" t="s">
        <v>52</v>
      </c>
      <c r="AF9" s="45">
        <f t="shared" si="7"/>
        <v>-1</v>
      </c>
      <c r="AG9" s="46">
        <f t="shared" si="8"/>
        <v>6</v>
      </c>
    </row>
    <row r="10" spans="1:33" ht="15.75" customHeight="1" x14ac:dyDescent="0.2">
      <c r="A10" s="20">
        <v>9</v>
      </c>
      <c r="B10" s="28">
        <v>43441.736667002318</v>
      </c>
      <c r="C10" s="25" t="s">
        <v>65</v>
      </c>
      <c r="D10" s="25" t="s">
        <v>66</v>
      </c>
      <c r="E10" s="29">
        <v>288985</v>
      </c>
      <c r="F10" s="26">
        <v>2</v>
      </c>
      <c r="G10" s="43" t="s">
        <v>67</v>
      </c>
      <c r="H10" s="33">
        <v>69.891000000000005</v>
      </c>
      <c r="I10" s="25" t="s">
        <v>133</v>
      </c>
      <c r="J10" s="32">
        <v>0</v>
      </c>
      <c r="K10" s="43" t="s">
        <v>68</v>
      </c>
      <c r="L10" s="33">
        <v>71.679100000000005</v>
      </c>
      <c r="M10" s="25" t="s">
        <v>133</v>
      </c>
      <c r="N10" s="32">
        <v>0</v>
      </c>
      <c r="O10" s="25" t="s">
        <v>69</v>
      </c>
      <c r="P10" s="33">
        <v>86.186999999999998</v>
      </c>
      <c r="Q10" s="25" t="s">
        <v>133</v>
      </c>
      <c r="R10" s="32">
        <v>0</v>
      </c>
      <c r="S10" s="30"/>
      <c r="T10" s="33">
        <v>77.683999999999997</v>
      </c>
      <c r="U10" s="25" t="s">
        <v>133</v>
      </c>
      <c r="V10" s="32">
        <f t="shared" si="2"/>
        <v>0</v>
      </c>
      <c r="W10" s="30"/>
      <c r="X10" s="33">
        <v>49.64</v>
      </c>
      <c r="Y10" s="25" t="s">
        <v>133</v>
      </c>
      <c r="Z10" s="32">
        <f t="shared" si="3"/>
        <v>0</v>
      </c>
      <c r="AA10" s="25" t="s">
        <v>15</v>
      </c>
      <c r="AB10" s="45">
        <f t="shared" si="5"/>
        <v>1</v>
      </c>
      <c r="AC10" s="25" t="s">
        <v>16</v>
      </c>
      <c r="AD10" s="45">
        <f t="shared" si="6"/>
        <v>1</v>
      </c>
      <c r="AE10" s="25" t="s">
        <v>52</v>
      </c>
      <c r="AF10" s="45">
        <f t="shared" si="7"/>
        <v>-1</v>
      </c>
      <c r="AG10" s="46">
        <f t="shared" si="8"/>
        <v>3</v>
      </c>
    </row>
    <row r="11" spans="1:33" ht="15.75" customHeight="1" x14ac:dyDescent="0.2">
      <c r="A11" s="20">
        <v>10</v>
      </c>
      <c r="B11" s="28">
        <v>43441.736693125</v>
      </c>
      <c r="C11" s="25" t="s">
        <v>70</v>
      </c>
      <c r="D11" s="25" t="s">
        <v>71</v>
      </c>
      <c r="E11" s="29">
        <v>289723</v>
      </c>
      <c r="F11" s="26">
        <v>2</v>
      </c>
      <c r="G11" s="25" t="s">
        <v>72</v>
      </c>
      <c r="H11" s="33">
        <v>66.472999999999999</v>
      </c>
      <c r="I11" s="25" t="s">
        <v>133</v>
      </c>
      <c r="J11" s="32">
        <f t="shared" si="4"/>
        <v>0</v>
      </c>
      <c r="K11" s="25" t="s">
        <v>73</v>
      </c>
      <c r="L11" s="33">
        <v>68.498199999999997</v>
      </c>
      <c r="M11" s="25" t="s">
        <v>133</v>
      </c>
      <c r="N11" s="32">
        <f t="shared" si="0"/>
        <v>0</v>
      </c>
      <c r="O11" s="25" t="s">
        <v>74</v>
      </c>
      <c r="P11" s="33">
        <v>81.543000000000006</v>
      </c>
      <c r="Q11" s="25" t="s">
        <v>133</v>
      </c>
      <c r="R11" s="32">
        <f t="shared" si="1"/>
        <v>0</v>
      </c>
      <c r="S11" s="30"/>
      <c r="T11" s="33">
        <v>75.683999999999997</v>
      </c>
      <c r="U11" s="25" t="s">
        <v>133</v>
      </c>
      <c r="V11" s="32">
        <f t="shared" si="2"/>
        <v>0</v>
      </c>
      <c r="W11" s="30"/>
      <c r="X11" s="33">
        <v>48.25</v>
      </c>
      <c r="Y11" s="25" t="s">
        <v>133</v>
      </c>
      <c r="Z11" s="32">
        <f t="shared" si="3"/>
        <v>0</v>
      </c>
      <c r="AA11" s="25" t="s">
        <v>15</v>
      </c>
      <c r="AB11" s="45">
        <f t="shared" si="5"/>
        <v>1</v>
      </c>
      <c r="AC11" s="25" t="s">
        <v>16</v>
      </c>
      <c r="AD11" s="45">
        <f t="shared" si="6"/>
        <v>1</v>
      </c>
      <c r="AE11" s="25" t="s">
        <v>52</v>
      </c>
      <c r="AF11" s="45">
        <f t="shared" si="7"/>
        <v>-1</v>
      </c>
      <c r="AG11" s="46">
        <f t="shared" si="8"/>
        <v>3</v>
      </c>
    </row>
    <row r="12" spans="1:33" ht="15.75" customHeight="1" x14ac:dyDescent="0.2">
      <c r="A12" s="20">
        <v>11</v>
      </c>
      <c r="B12" s="28">
        <v>43441.737417222219</v>
      </c>
      <c r="C12" s="25" t="s">
        <v>75</v>
      </c>
      <c r="D12" s="25" t="s">
        <v>76</v>
      </c>
      <c r="E12" s="29">
        <v>288767</v>
      </c>
      <c r="F12" s="26">
        <v>2</v>
      </c>
      <c r="G12" s="25" t="s">
        <v>77</v>
      </c>
      <c r="H12" s="33">
        <v>69.150999999999996</v>
      </c>
      <c r="I12" s="25" t="s">
        <v>133</v>
      </c>
      <c r="J12" s="32">
        <f t="shared" si="4"/>
        <v>1</v>
      </c>
      <c r="K12" s="25" t="s">
        <v>78</v>
      </c>
      <c r="L12" s="33">
        <v>73.352500000000006</v>
      </c>
      <c r="M12" s="25" t="s">
        <v>133</v>
      </c>
      <c r="N12" s="32">
        <f t="shared" si="0"/>
        <v>1</v>
      </c>
      <c r="O12" s="25" t="s">
        <v>79</v>
      </c>
      <c r="P12" s="33">
        <v>85.908000000000001</v>
      </c>
      <c r="Q12" s="25" t="s">
        <v>133</v>
      </c>
      <c r="R12" s="32">
        <f t="shared" si="1"/>
        <v>0</v>
      </c>
      <c r="S12" s="25" t="s">
        <v>80</v>
      </c>
      <c r="T12" s="33">
        <v>79.683999999999997</v>
      </c>
      <c r="U12" s="25" t="s">
        <v>133</v>
      </c>
      <c r="V12" s="32">
        <f t="shared" si="2"/>
        <v>0</v>
      </c>
      <c r="W12" s="25" t="s">
        <v>81</v>
      </c>
      <c r="X12" s="33">
        <v>51.1</v>
      </c>
      <c r="Y12" s="25" t="s">
        <v>133</v>
      </c>
      <c r="Z12" s="32">
        <f t="shared" si="3"/>
        <v>0</v>
      </c>
      <c r="AA12" s="25" t="s">
        <v>31</v>
      </c>
      <c r="AB12" s="45">
        <f t="shared" si="5"/>
        <v>-1</v>
      </c>
      <c r="AC12" s="25" t="s">
        <v>16</v>
      </c>
      <c r="AD12" s="45">
        <f t="shared" si="6"/>
        <v>1</v>
      </c>
      <c r="AE12" s="25" t="s">
        <v>52</v>
      </c>
      <c r="AF12" s="45">
        <f t="shared" si="7"/>
        <v>-1</v>
      </c>
      <c r="AG12" s="46">
        <f t="shared" si="8"/>
        <v>3</v>
      </c>
    </row>
    <row r="13" spans="1:33" ht="15.75" customHeight="1" x14ac:dyDescent="0.2">
      <c r="A13" s="20">
        <v>12</v>
      </c>
      <c r="B13" s="28">
        <v>43441.737420613426</v>
      </c>
      <c r="C13" s="25" t="s">
        <v>82</v>
      </c>
      <c r="D13" s="25" t="s">
        <v>83</v>
      </c>
      <c r="E13" s="29">
        <v>293072</v>
      </c>
      <c r="F13" s="26">
        <v>2</v>
      </c>
      <c r="G13" s="42" t="s">
        <v>84</v>
      </c>
      <c r="H13" s="33">
        <v>68.962000000000003</v>
      </c>
      <c r="I13" s="25" t="s">
        <v>133</v>
      </c>
      <c r="J13" s="32">
        <v>1</v>
      </c>
      <c r="K13" s="42" t="s">
        <v>85</v>
      </c>
      <c r="L13" s="33">
        <v>68.522300000000001</v>
      </c>
      <c r="M13" s="25" t="s">
        <v>133</v>
      </c>
      <c r="N13" s="32">
        <v>1</v>
      </c>
      <c r="O13" s="30"/>
      <c r="P13" s="33">
        <v>83.135000000000005</v>
      </c>
      <c r="Q13" s="25" t="s">
        <v>133</v>
      </c>
      <c r="R13" s="32">
        <f t="shared" si="1"/>
        <v>0</v>
      </c>
      <c r="S13" s="42" t="s">
        <v>86</v>
      </c>
      <c r="T13" s="33">
        <v>74.683999999999997</v>
      </c>
      <c r="U13" s="25" t="s">
        <v>133</v>
      </c>
      <c r="V13" s="32">
        <v>1</v>
      </c>
      <c r="W13" s="30"/>
      <c r="X13" s="33">
        <v>47.6</v>
      </c>
      <c r="Y13" s="25" t="s">
        <v>133</v>
      </c>
      <c r="Z13" s="32">
        <f t="shared" si="3"/>
        <v>0</v>
      </c>
      <c r="AA13" s="25" t="s">
        <v>15</v>
      </c>
      <c r="AB13" s="45">
        <f t="shared" si="5"/>
        <v>1</v>
      </c>
      <c r="AC13" s="25" t="s">
        <v>16</v>
      </c>
      <c r="AD13" s="45">
        <f t="shared" si="6"/>
        <v>1</v>
      </c>
      <c r="AE13" s="25" t="s">
        <v>87</v>
      </c>
      <c r="AF13" s="45">
        <f t="shared" si="7"/>
        <v>-1</v>
      </c>
      <c r="AG13" s="46">
        <f t="shared" si="8"/>
        <v>6</v>
      </c>
    </row>
    <row r="14" spans="1:33" ht="15.75" customHeight="1" x14ac:dyDescent="0.2">
      <c r="A14" s="20">
        <v>13</v>
      </c>
      <c r="B14" s="28">
        <v>43441.737568518518</v>
      </c>
      <c r="C14" s="25" t="s">
        <v>88</v>
      </c>
      <c r="D14" s="25" t="s">
        <v>89</v>
      </c>
      <c r="E14" s="29">
        <v>239515</v>
      </c>
      <c r="F14" s="26">
        <v>2</v>
      </c>
      <c r="G14" s="25" t="s">
        <v>90</v>
      </c>
      <c r="H14" s="33">
        <v>66.159000000000006</v>
      </c>
      <c r="I14" s="25" t="s">
        <v>133</v>
      </c>
      <c r="J14" s="32">
        <f t="shared" si="4"/>
        <v>0</v>
      </c>
      <c r="K14" s="30"/>
      <c r="L14" s="33">
        <v>70.224999999999994</v>
      </c>
      <c r="M14" s="25" t="s">
        <v>133</v>
      </c>
      <c r="N14" s="32">
        <f t="shared" si="0"/>
        <v>0</v>
      </c>
      <c r="O14" s="30"/>
      <c r="P14" s="33">
        <v>82.096999999999994</v>
      </c>
      <c r="Q14" s="25" t="s">
        <v>133</v>
      </c>
      <c r="R14" s="32">
        <f t="shared" si="1"/>
        <v>0</v>
      </c>
      <c r="S14" s="30"/>
      <c r="T14" s="33">
        <v>77.683999999999997</v>
      </c>
      <c r="U14" s="25" t="s">
        <v>133</v>
      </c>
      <c r="V14" s="32">
        <f t="shared" si="2"/>
        <v>0</v>
      </c>
      <c r="W14" s="30"/>
      <c r="X14" s="33">
        <v>49.64</v>
      </c>
      <c r="Y14" s="25" t="s">
        <v>133</v>
      </c>
      <c r="Z14" s="32">
        <f t="shared" si="3"/>
        <v>0</v>
      </c>
      <c r="AA14" s="25" t="s">
        <v>31</v>
      </c>
      <c r="AB14" s="45">
        <f t="shared" si="5"/>
        <v>-1</v>
      </c>
      <c r="AC14" s="25" t="s">
        <v>91</v>
      </c>
      <c r="AD14" s="45">
        <f t="shared" si="6"/>
        <v>-1</v>
      </c>
      <c r="AE14" s="25" t="s">
        <v>92</v>
      </c>
      <c r="AF14" s="45">
        <f t="shared" si="7"/>
        <v>1</v>
      </c>
      <c r="AG14" s="46">
        <f t="shared" si="8"/>
        <v>1</v>
      </c>
    </row>
    <row r="15" spans="1:33" ht="15.75" customHeight="1" x14ac:dyDescent="0.2">
      <c r="A15" s="20">
        <v>14</v>
      </c>
      <c r="B15" s="28">
        <v>43441.73836142361</v>
      </c>
      <c r="C15" s="25" t="s">
        <v>93</v>
      </c>
      <c r="D15" s="25" t="s">
        <v>94</v>
      </c>
      <c r="E15" s="29">
        <v>293075</v>
      </c>
      <c r="F15" s="26">
        <v>2</v>
      </c>
      <c r="G15" s="30"/>
      <c r="H15" s="33">
        <v>69.084000000000003</v>
      </c>
      <c r="I15" s="25" t="s">
        <v>133</v>
      </c>
      <c r="J15" s="32">
        <f t="shared" si="4"/>
        <v>0</v>
      </c>
      <c r="K15" s="42" t="s">
        <v>95</v>
      </c>
      <c r="L15" s="33">
        <v>71.522300000000001</v>
      </c>
      <c r="M15" s="25" t="s">
        <v>133</v>
      </c>
      <c r="N15" s="32">
        <v>0</v>
      </c>
      <c r="O15" s="25" t="s">
        <v>96</v>
      </c>
      <c r="P15" s="33">
        <v>84.197999999999993</v>
      </c>
      <c r="Q15" s="25" t="s">
        <v>133</v>
      </c>
      <c r="R15" s="32">
        <f t="shared" si="1"/>
        <v>0</v>
      </c>
      <c r="S15" s="30"/>
      <c r="T15" s="33">
        <v>77.683999999999997</v>
      </c>
      <c r="U15" s="25" t="s">
        <v>133</v>
      </c>
      <c r="V15" s="32">
        <f t="shared" si="2"/>
        <v>0</v>
      </c>
      <c r="W15" s="30"/>
      <c r="X15" s="33">
        <v>49.64</v>
      </c>
      <c r="Y15" s="25" t="s">
        <v>133</v>
      </c>
      <c r="Z15" s="32">
        <f t="shared" si="3"/>
        <v>0</v>
      </c>
      <c r="AA15" s="25" t="s">
        <v>31</v>
      </c>
      <c r="AB15" s="45">
        <f t="shared" si="5"/>
        <v>-1</v>
      </c>
      <c r="AC15" s="25" t="s">
        <v>91</v>
      </c>
      <c r="AD15" s="45">
        <f t="shared" si="6"/>
        <v>-1</v>
      </c>
      <c r="AE15" s="25" t="s">
        <v>52</v>
      </c>
      <c r="AF15" s="45">
        <f t="shared" si="7"/>
        <v>-1</v>
      </c>
      <c r="AG15" s="46">
        <f t="shared" si="8"/>
        <v>-1</v>
      </c>
    </row>
    <row r="16" spans="1:33" ht="15.75" customHeight="1" x14ac:dyDescent="0.2">
      <c r="A16" s="20">
        <v>15</v>
      </c>
      <c r="B16" s="28">
        <v>43441.739654259261</v>
      </c>
      <c r="C16" s="25" t="s">
        <v>97</v>
      </c>
      <c r="D16" s="25" t="s">
        <v>98</v>
      </c>
      <c r="E16" s="29">
        <v>288949</v>
      </c>
      <c r="F16" s="26">
        <v>2</v>
      </c>
      <c r="G16" s="43" t="s">
        <v>99</v>
      </c>
      <c r="H16" s="33">
        <v>69.677999999999997</v>
      </c>
      <c r="I16" s="25" t="s">
        <v>133</v>
      </c>
      <c r="J16" s="32">
        <v>0</v>
      </c>
      <c r="K16" s="25" t="s">
        <v>100</v>
      </c>
      <c r="L16" s="33">
        <v>74.965599999999995</v>
      </c>
      <c r="M16" s="25" t="s">
        <v>133</v>
      </c>
      <c r="N16" s="32">
        <f t="shared" si="0"/>
        <v>0</v>
      </c>
      <c r="O16" s="25" t="s">
        <v>101</v>
      </c>
      <c r="P16" s="33">
        <v>87.078000000000003</v>
      </c>
      <c r="Q16" s="25" t="s">
        <v>133</v>
      </c>
      <c r="R16" s="32">
        <f t="shared" si="1"/>
        <v>0</v>
      </c>
      <c r="S16" s="30"/>
      <c r="T16" s="33">
        <v>81.683999999999997</v>
      </c>
      <c r="U16" s="25" t="s">
        <v>133</v>
      </c>
      <c r="V16" s="32">
        <f t="shared" si="2"/>
        <v>0</v>
      </c>
      <c r="W16" s="30"/>
      <c r="X16" s="33">
        <v>52.63</v>
      </c>
      <c r="Y16" s="25" t="s">
        <v>133</v>
      </c>
      <c r="Z16" s="32">
        <f t="shared" si="3"/>
        <v>0</v>
      </c>
      <c r="AA16" s="25" t="s">
        <v>15</v>
      </c>
      <c r="AB16" s="45">
        <f t="shared" si="5"/>
        <v>1</v>
      </c>
      <c r="AC16" s="25" t="s">
        <v>16</v>
      </c>
      <c r="AD16" s="45">
        <f t="shared" si="6"/>
        <v>1</v>
      </c>
      <c r="AE16" s="25" t="s">
        <v>52</v>
      </c>
      <c r="AF16" s="45">
        <f t="shared" si="7"/>
        <v>-1</v>
      </c>
      <c r="AG16" s="46">
        <f t="shared" si="8"/>
        <v>3</v>
      </c>
    </row>
    <row r="17" spans="1:33" ht="15.75" customHeight="1" x14ac:dyDescent="0.2">
      <c r="A17" s="20">
        <v>16</v>
      </c>
      <c r="B17" s="28">
        <v>43441.73972982639</v>
      </c>
      <c r="C17" s="25" t="s">
        <v>102</v>
      </c>
      <c r="D17" s="25" t="s">
        <v>103</v>
      </c>
      <c r="E17" s="29">
        <v>298849</v>
      </c>
      <c r="F17" s="26">
        <v>2</v>
      </c>
      <c r="G17" s="25" t="s">
        <v>104</v>
      </c>
      <c r="H17" s="33">
        <v>69.435000000000002</v>
      </c>
      <c r="I17" s="25" t="s">
        <v>133</v>
      </c>
      <c r="J17" s="32">
        <f t="shared" si="4"/>
        <v>0</v>
      </c>
      <c r="K17" s="25" t="s">
        <v>105</v>
      </c>
      <c r="L17" s="33">
        <v>74.965599999999995</v>
      </c>
      <c r="M17" s="25" t="s">
        <v>133</v>
      </c>
      <c r="N17" s="32">
        <f t="shared" si="0"/>
        <v>1</v>
      </c>
      <c r="O17" s="30"/>
      <c r="P17" s="33">
        <v>86.835999999999999</v>
      </c>
      <c r="Q17" s="25" t="s">
        <v>133</v>
      </c>
      <c r="R17" s="32">
        <f t="shared" si="1"/>
        <v>0</v>
      </c>
      <c r="S17" s="25" t="s">
        <v>106</v>
      </c>
      <c r="T17" s="33">
        <v>81.683999999999997</v>
      </c>
      <c r="U17" s="25" t="s">
        <v>133</v>
      </c>
      <c r="V17" s="32">
        <f t="shared" si="2"/>
        <v>1</v>
      </c>
      <c r="W17" s="25" t="s">
        <v>107</v>
      </c>
      <c r="X17" s="33">
        <v>52.63</v>
      </c>
      <c r="Y17" s="25" t="s">
        <v>133</v>
      </c>
      <c r="Z17" s="32">
        <f t="shared" si="3"/>
        <v>1</v>
      </c>
      <c r="AA17" s="25" t="s">
        <v>15</v>
      </c>
      <c r="AB17" s="45">
        <f t="shared" si="5"/>
        <v>1</v>
      </c>
      <c r="AC17" s="25" t="s">
        <v>16</v>
      </c>
      <c r="AD17" s="45">
        <f t="shared" si="6"/>
        <v>1</v>
      </c>
      <c r="AE17" s="25" t="s">
        <v>87</v>
      </c>
      <c r="AF17" s="45">
        <f t="shared" si="7"/>
        <v>-1</v>
      </c>
      <c r="AG17" s="46">
        <f t="shared" si="8"/>
        <v>6</v>
      </c>
    </row>
    <row r="18" spans="1:33" ht="15.75" customHeight="1" x14ac:dyDescent="0.2">
      <c r="E18" s="22" t="s">
        <v>3</v>
      </c>
    </row>
    <row r="19" spans="1:33" ht="15.75" customHeight="1" x14ac:dyDescent="0.2">
      <c r="C19" s="37" t="s">
        <v>166</v>
      </c>
      <c r="E19" s="29">
        <v>123456</v>
      </c>
      <c r="H19">
        <f>Solution!H7</f>
        <v>67.711261231067141</v>
      </c>
      <c r="L19">
        <f>Solution!H12</f>
        <v>72.167623036582057</v>
      </c>
      <c r="P19">
        <f>Solution!H17</f>
        <v>84.181495780240539</v>
      </c>
      <c r="T19">
        <f>Solution!L24</f>
        <v>78.684202566927453</v>
      </c>
      <c r="X19">
        <f>Solution!L32</f>
        <v>50.364311108998095</v>
      </c>
    </row>
    <row r="21" spans="1:33" ht="15.75" customHeight="1" x14ac:dyDescent="0.2">
      <c r="A21" s="34" t="s">
        <v>161</v>
      </c>
      <c r="B21"/>
      <c r="F21"/>
    </row>
    <row r="22" spans="1:33" ht="15.75" customHeight="1" x14ac:dyDescent="0.2">
      <c r="A22" s="35" t="s">
        <v>162</v>
      </c>
      <c r="B22" s="36"/>
      <c r="C22" s="36"/>
      <c r="D22" s="37" t="s">
        <v>163</v>
      </c>
      <c r="F22"/>
    </row>
    <row r="23" spans="1:33" ht="15.75" customHeight="1" x14ac:dyDescent="0.2">
      <c r="A23" s="38" t="s">
        <v>164</v>
      </c>
      <c r="B23" s="39"/>
      <c r="C23" s="39"/>
      <c r="F23"/>
    </row>
    <row r="24" spans="1:33" ht="15.75" customHeight="1" x14ac:dyDescent="0.2">
      <c r="A24" s="40" t="s">
        <v>165</v>
      </c>
      <c r="B24" s="41"/>
      <c r="C24" s="41"/>
      <c r="F24"/>
    </row>
    <row r="25" spans="1:33" ht="15.75" customHeight="1" x14ac:dyDescent="0.2">
      <c r="B25"/>
      <c r="D25" s="23"/>
      <c r="F25"/>
    </row>
  </sheetData>
  <conditionalFormatting sqref="AB2:AB17">
    <cfRule type="cellIs" dxfId="33" priority="32" operator="lessThan">
      <formula>0</formula>
    </cfRule>
  </conditionalFormatting>
  <conditionalFormatting sqref="AB2:AB17">
    <cfRule type="containsText" dxfId="32" priority="33" operator="containsText" text=",">
      <formula>NOT(ISERROR(SEARCH(",",AB2)))</formula>
    </cfRule>
  </conditionalFormatting>
  <conditionalFormatting sqref="AB2:AB17">
    <cfRule type="cellIs" dxfId="31" priority="31" operator="equal">
      <formula>0</formula>
    </cfRule>
  </conditionalFormatting>
  <conditionalFormatting sqref="F2:F17">
    <cfRule type="cellIs" dxfId="30" priority="23" operator="lessThan">
      <formula>0</formula>
    </cfRule>
  </conditionalFormatting>
  <conditionalFormatting sqref="F2:F17">
    <cfRule type="containsText" dxfId="29" priority="24" operator="containsText" text=",">
      <formula>NOT(ISERROR(SEARCH(",",F2)))</formula>
    </cfRule>
  </conditionalFormatting>
  <conditionalFormatting sqref="F2:F17">
    <cfRule type="cellIs" dxfId="28" priority="22" operator="equal">
      <formula>0</formula>
    </cfRule>
  </conditionalFormatting>
  <conditionalFormatting sqref="J2">
    <cfRule type="cellIs" dxfId="21" priority="21" operator="lessThan">
      <formula>0</formula>
    </cfRule>
  </conditionalFormatting>
  <conditionalFormatting sqref="R2:R17">
    <cfRule type="cellIs" dxfId="20" priority="9" operator="lessThan">
      <formula>0</formula>
    </cfRule>
  </conditionalFormatting>
  <conditionalFormatting sqref="J3:J17">
    <cfRule type="cellIs" dxfId="10" priority="11" operator="lessThan">
      <formula>0</formula>
    </cfRule>
  </conditionalFormatting>
  <conditionalFormatting sqref="N2:N17">
    <cfRule type="cellIs" dxfId="9" priority="10" operator="lessThan">
      <formula>0</formula>
    </cfRule>
  </conditionalFormatting>
  <conditionalFormatting sqref="V2:V17">
    <cfRule type="cellIs" dxfId="7" priority="8" operator="lessThan">
      <formula>0</formula>
    </cfRule>
  </conditionalFormatting>
  <conditionalFormatting sqref="Z2:Z17">
    <cfRule type="cellIs" dxfId="6" priority="7" operator="lessThan">
      <formula>0</formula>
    </cfRule>
  </conditionalFormatting>
  <conditionalFormatting sqref="AD2:AD17">
    <cfRule type="cellIs" dxfId="5" priority="5" operator="lessThan">
      <formula>0</formula>
    </cfRule>
  </conditionalFormatting>
  <conditionalFormatting sqref="AD2:AD17">
    <cfRule type="containsText" dxfId="4" priority="6" operator="containsText" text=",">
      <formula>NOT(ISERROR(SEARCH(",",AD2)))</formula>
    </cfRule>
  </conditionalFormatting>
  <conditionalFormatting sqref="AD2:AD17">
    <cfRule type="cellIs" dxfId="3" priority="4" operator="equal">
      <formula>0</formula>
    </cfRule>
  </conditionalFormatting>
  <conditionalFormatting sqref="AF2:AF17">
    <cfRule type="cellIs" dxfId="2" priority="2" operator="lessThan">
      <formula>0</formula>
    </cfRule>
  </conditionalFormatting>
  <conditionalFormatting sqref="AF2:AF17">
    <cfRule type="containsText" dxfId="1" priority="3" operator="containsText" text=",">
      <formula>NOT(ISERROR(SEARCH(",",AF2)))</formula>
    </cfRule>
  </conditionalFormatting>
  <conditionalFormatting sqref="AF2:AF1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A4" sqref="A4"/>
    </sheetView>
  </sheetViews>
  <sheetFormatPr defaultRowHeight="12.75" x14ac:dyDescent="0.2"/>
  <sheetData>
    <row r="1" spans="1:20" ht="18.75" x14ac:dyDescent="0.3">
      <c r="A1" s="2" t="s">
        <v>109</v>
      </c>
    </row>
    <row r="2" spans="1:20" x14ac:dyDescent="0.2">
      <c r="A2" s="21" t="s">
        <v>149</v>
      </c>
      <c r="B2" s="15"/>
      <c r="C2" s="16" t="s">
        <v>150</v>
      </c>
      <c r="D2" s="16" t="s">
        <v>151</v>
      </c>
      <c r="E2" s="16" t="s">
        <v>152</v>
      </c>
      <c r="F2" s="16" t="s">
        <v>153</v>
      </c>
      <c r="G2" s="16" t="s">
        <v>154</v>
      </c>
      <c r="H2" s="16" t="s">
        <v>155</v>
      </c>
    </row>
    <row r="3" spans="1:20" x14ac:dyDescent="0.2">
      <c r="A3" s="29">
        <f>'Form Responses 1'!E19</f>
        <v>123456</v>
      </c>
      <c r="B3" s="15"/>
      <c r="C3" s="15">
        <f>INT(A3/100000)</f>
        <v>1</v>
      </c>
      <c r="D3" s="15">
        <f>INT((A3-A*100000)/10000)</f>
        <v>2</v>
      </c>
      <c r="E3" s="15">
        <f>INT((A3-A*100000-B*10000)/1000)</f>
        <v>3</v>
      </c>
      <c r="F3" s="15">
        <f>INT((A3-A*100000-B*10000-CC*1000)/100)</f>
        <v>4</v>
      </c>
      <c r="G3" s="15">
        <f>INT((A3-A*100000-B*10000-CC*1000-D*100)/10)</f>
        <v>5</v>
      </c>
      <c r="H3" s="15">
        <f>INT((A3-A*100000-B*10000-CC*1000-D*100-E*10))</f>
        <v>6</v>
      </c>
    </row>
    <row r="5" spans="1:20" ht="18" x14ac:dyDescent="0.2">
      <c r="A5" s="4" t="s">
        <v>110</v>
      </c>
    </row>
    <row r="6" spans="1:20" ht="13.5" thickBot="1" x14ac:dyDescent="0.25">
      <c r="A6" s="6" t="s">
        <v>112</v>
      </c>
    </row>
    <row r="7" spans="1:20" ht="18.75" thickBot="1" x14ac:dyDescent="0.25">
      <c r="A7" s="4" t="s">
        <v>132</v>
      </c>
      <c r="H7" s="12">
        <f>10*LOG10(((1+D)*10^((60+F)/10)+(2+CC/3)*10^((65+E)/10)+3*10^((63+D)/10))/(1+D+2+CC/3+3))</f>
        <v>67.711261231067141</v>
      </c>
      <c r="I7" s="11" t="s">
        <v>133</v>
      </c>
    </row>
    <row r="8" spans="1:20" ht="15.75" x14ac:dyDescent="0.2">
      <c r="A8" s="5"/>
    </row>
    <row r="9" spans="1:20" ht="15" x14ac:dyDescent="0.2">
      <c r="A9" s="4" t="s">
        <v>111</v>
      </c>
    </row>
    <row r="10" spans="1:20" ht="18" x14ac:dyDescent="0.2">
      <c r="A10" s="4" t="s">
        <v>134</v>
      </c>
    </row>
    <row r="11" spans="1:20" ht="13.5" thickBot="1" x14ac:dyDescent="0.25">
      <c r="A11" s="6" t="s">
        <v>112</v>
      </c>
    </row>
    <row r="12" spans="1:20" ht="18.75" thickBot="1" x14ac:dyDescent="0.25">
      <c r="A12" s="4" t="s">
        <v>136</v>
      </c>
      <c r="H12" s="12">
        <f>80+F+10*LOG10(10000+E*1000)-10*LOG10(16*3600)+10*LOG10(7.15/(40+E))</f>
        <v>72.167623036582057</v>
      </c>
      <c r="I12" s="11" t="s">
        <v>133</v>
      </c>
    </row>
    <row r="13" spans="1:20" x14ac:dyDescent="0.2">
      <c r="A13" s="7"/>
    </row>
    <row r="14" spans="1:20" ht="18" x14ac:dyDescent="0.2">
      <c r="A14" s="4" t="s">
        <v>135</v>
      </c>
    </row>
    <row r="15" spans="1:20" x14ac:dyDescent="0.2">
      <c r="A15" s="6" t="s">
        <v>112</v>
      </c>
    </row>
    <row r="16" spans="1:20" ht="18.75" thickBot="1" x14ac:dyDescent="0.4">
      <c r="A16" s="4" t="s">
        <v>137</v>
      </c>
      <c r="B16" s="14"/>
      <c r="C16" s="14"/>
      <c r="D16" s="14"/>
      <c r="E16" s="3">
        <f>75+E+10*LOG10((8+F/2)*3600)</f>
        <v>125.97695185925512</v>
      </c>
      <c r="F16" s="3" t="s">
        <v>133</v>
      </c>
      <c r="G16" s="3" t="s">
        <v>138</v>
      </c>
      <c r="H16" s="3"/>
      <c r="I16" s="3"/>
      <c r="J16" s="3"/>
      <c r="K16" s="3">
        <f>100+F+10*LOG10(50+D*10)</f>
        <v>125.54242509439325</v>
      </c>
      <c r="L16" s="3" t="s">
        <v>133</v>
      </c>
      <c r="M16" s="3" t="s">
        <v>139</v>
      </c>
      <c r="N16" s="13"/>
      <c r="O16" s="13"/>
      <c r="S16">
        <f>10*LOG10(10^(E16/10)+10^(K16/10))</f>
        <v>128.77542065783285</v>
      </c>
      <c r="T16" s="1" t="s">
        <v>133</v>
      </c>
    </row>
    <row r="17" spans="1:20" ht="18.75" thickBot="1" x14ac:dyDescent="0.3">
      <c r="E17" s="4" t="s">
        <v>140</v>
      </c>
      <c r="F17" s="14"/>
      <c r="G17" s="14"/>
      <c r="H17" s="12">
        <f>S16-10*LOG10(8*3600)</f>
        <v>84.181495780240539</v>
      </c>
      <c r="I17" s="11" t="s">
        <v>133</v>
      </c>
      <c r="J17" s="3"/>
      <c r="K17" s="3"/>
      <c r="L17" s="3"/>
      <c r="M17" s="3"/>
      <c r="N17" s="13"/>
      <c r="O17" s="13"/>
      <c r="T17" s="1"/>
    </row>
    <row r="18" spans="1:20" x14ac:dyDescent="0.2">
      <c r="A18" s="7" t="s">
        <v>113</v>
      </c>
    </row>
    <row r="19" spans="1:20" ht="15" x14ac:dyDescent="0.2">
      <c r="A19" s="4" t="s">
        <v>7</v>
      </c>
    </row>
    <row r="20" spans="1:20" x14ac:dyDescent="0.2">
      <c r="A20" s="6" t="s">
        <v>112</v>
      </c>
    </row>
    <row r="21" spans="1:20" x14ac:dyDescent="0.2">
      <c r="A21" s="7" t="s">
        <v>141</v>
      </c>
      <c r="B21">
        <v>31.5</v>
      </c>
      <c r="C21">
        <v>63</v>
      </c>
      <c r="D21">
        <v>125</v>
      </c>
      <c r="E21">
        <v>250</v>
      </c>
      <c r="F21">
        <v>500</v>
      </c>
      <c r="G21">
        <v>1000</v>
      </c>
      <c r="H21">
        <v>2000</v>
      </c>
      <c r="I21">
        <v>4000</v>
      </c>
      <c r="J21">
        <v>8000</v>
      </c>
      <c r="K21">
        <v>16000</v>
      </c>
      <c r="L21" s="16" t="s">
        <v>144</v>
      </c>
      <c r="M21" s="15"/>
    </row>
    <row r="22" spans="1:20" x14ac:dyDescent="0.2">
      <c r="A22" s="7" t="s">
        <v>142</v>
      </c>
      <c r="B22">
        <f t="shared" ref="B22:E22" si="0">C22-3</f>
        <v>51</v>
      </c>
      <c r="C22">
        <f t="shared" si="0"/>
        <v>54</v>
      </c>
      <c r="D22">
        <f t="shared" si="0"/>
        <v>57</v>
      </c>
      <c r="E22">
        <f t="shared" si="0"/>
        <v>60</v>
      </c>
      <c r="F22">
        <f>G22-3</f>
        <v>63</v>
      </c>
      <c r="G22">
        <f>60+F</f>
        <v>66</v>
      </c>
      <c r="H22">
        <f>G22+3</f>
        <v>69</v>
      </c>
      <c r="I22">
        <f t="shared" ref="I22:K22" si="1">H22+3</f>
        <v>72</v>
      </c>
      <c r="J22">
        <f t="shared" si="1"/>
        <v>75</v>
      </c>
      <c r="K22">
        <f t="shared" si="1"/>
        <v>78</v>
      </c>
      <c r="L22" s="15"/>
      <c r="M22" s="15"/>
    </row>
    <row r="23" spans="1:20" ht="13.5" thickBot="1" x14ac:dyDescent="0.25">
      <c r="A23" s="7" t="s">
        <v>143</v>
      </c>
      <c r="B23" s="15">
        <v>-39.4</v>
      </c>
      <c r="C23" s="15">
        <v>-26.2</v>
      </c>
      <c r="D23" s="15">
        <v>-16.100000000000001</v>
      </c>
      <c r="E23" s="15">
        <v>-8.6</v>
      </c>
      <c r="F23" s="15">
        <v>-3.2</v>
      </c>
      <c r="G23" s="15">
        <v>0</v>
      </c>
      <c r="H23" s="15">
        <v>1.2</v>
      </c>
      <c r="I23" s="15">
        <v>1</v>
      </c>
      <c r="J23" s="15">
        <v>-1.1000000000000001</v>
      </c>
      <c r="K23" s="15">
        <v>-6.6</v>
      </c>
      <c r="L23" s="15"/>
      <c r="M23" s="15"/>
    </row>
    <row r="24" spans="1:20" ht="15.75" thickBot="1" x14ac:dyDescent="0.3">
      <c r="A24" s="7" t="s">
        <v>146</v>
      </c>
      <c r="B24" s="15">
        <f>B22+B23</f>
        <v>11.600000000000001</v>
      </c>
      <c r="C24" s="15">
        <f t="shared" ref="C24:K24" si="2">C22+C23</f>
        <v>27.8</v>
      </c>
      <c r="D24" s="15">
        <f t="shared" si="2"/>
        <v>40.9</v>
      </c>
      <c r="E24" s="15">
        <f t="shared" si="2"/>
        <v>51.4</v>
      </c>
      <c r="F24" s="15">
        <f t="shared" si="2"/>
        <v>59.8</v>
      </c>
      <c r="G24" s="15">
        <f t="shared" si="2"/>
        <v>66</v>
      </c>
      <c r="H24" s="15">
        <f t="shared" si="2"/>
        <v>70.2</v>
      </c>
      <c r="I24" s="15">
        <f t="shared" si="2"/>
        <v>73</v>
      </c>
      <c r="J24" s="15">
        <f t="shared" si="2"/>
        <v>73.900000000000006</v>
      </c>
      <c r="K24" s="15">
        <f t="shared" si="2"/>
        <v>71.400000000000006</v>
      </c>
      <c r="L24" s="17">
        <f>10*LOG10(L25)</f>
        <v>78.684202566927453</v>
      </c>
      <c r="M24" s="18" t="s">
        <v>133</v>
      </c>
    </row>
    <row r="25" spans="1:20" x14ac:dyDescent="0.2">
      <c r="A25" s="19" t="s">
        <v>145</v>
      </c>
      <c r="B25" s="15">
        <f>10^(B24/10)</f>
        <v>14.454397707459282</v>
      </c>
      <c r="C25" s="15">
        <f t="shared" ref="C25:K25" si="3">10^(C24/10)</f>
        <v>602.55958607435832</v>
      </c>
      <c r="D25" s="15">
        <f t="shared" si="3"/>
        <v>12302.687708123816</v>
      </c>
      <c r="E25" s="15">
        <f t="shared" si="3"/>
        <v>138038.42646028858</v>
      </c>
      <c r="F25" s="15">
        <f t="shared" si="3"/>
        <v>954992.58602143568</v>
      </c>
      <c r="G25" s="15">
        <f t="shared" si="3"/>
        <v>3981071.705534976</v>
      </c>
      <c r="H25" s="15">
        <f t="shared" si="3"/>
        <v>10471285.480509037</v>
      </c>
      <c r="I25" s="15">
        <f t="shared" si="3"/>
        <v>19952623.149688821</v>
      </c>
      <c r="J25" s="15">
        <f t="shared" si="3"/>
        <v>24547089.156850401</v>
      </c>
      <c r="K25" s="15">
        <f t="shared" si="3"/>
        <v>13803842.646028887</v>
      </c>
      <c r="L25" s="15">
        <f>SUM(B25:K25)</f>
        <v>73861862.852785751</v>
      </c>
      <c r="M25" s="15"/>
    </row>
    <row r="26" spans="1:20" ht="15" x14ac:dyDescent="0.2">
      <c r="A26" s="4"/>
      <c r="L26" s="15"/>
      <c r="M26" s="15"/>
    </row>
    <row r="27" spans="1:20" ht="15" x14ac:dyDescent="0.2">
      <c r="A27" s="4" t="s">
        <v>8</v>
      </c>
    </row>
    <row r="28" spans="1:20" x14ac:dyDescent="0.2">
      <c r="A28" s="6" t="s">
        <v>112</v>
      </c>
    </row>
    <row r="29" spans="1:20" x14ac:dyDescent="0.2">
      <c r="A29" s="7" t="s">
        <v>141</v>
      </c>
      <c r="B29">
        <v>31.5</v>
      </c>
      <c r="C29">
        <v>63</v>
      </c>
      <c r="D29">
        <v>125</v>
      </c>
      <c r="E29">
        <v>250</v>
      </c>
      <c r="F29">
        <v>500</v>
      </c>
      <c r="G29">
        <v>1000</v>
      </c>
      <c r="H29">
        <v>2000</v>
      </c>
      <c r="I29">
        <v>4000</v>
      </c>
      <c r="J29">
        <v>8000</v>
      </c>
      <c r="K29">
        <v>16000</v>
      </c>
      <c r="L29" s="16" t="s">
        <v>144</v>
      </c>
    </row>
    <row r="30" spans="1:20" x14ac:dyDescent="0.2">
      <c r="A30" s="7" t="s">
        <v>147</v>
      </c>
      <c r="B30">
        <f>2*(1+F/10)*B29/340</f>
        <v>0.29647058823529415</v>
      </c>
      <c r="C30">
        <f>2*(1+F/10)*C29/340</f>
        <v>0.5929411764705883</v>
      </c>
      <c r="D30">
        <f>2*(1+F/10)*D29/340</f>
        <v>1.1764705882352942</v>
      </c>
      <c r="E30">
        <f>2*(1+F/10)*E29/340</f>
        <v>2.3529411764705883</v>
      </c>
      <c r="F30">
        <f>2*(1+F/10)*F29/340</f>
        <v>4.7058823529411766</v>
      </c>
      <c r="G30">
        <f>2*(1+F/10)*G29/340</f>
        <v>9.4117647058823533</v>
      </c>
      <c r="H30">
        <f>2*(1+F/10)*H29/340</f>
        <v>18.823529411764707</v>
      </c>
      <c r="I30">
        <f>2*(1+F/10)*I29/340</f>
        <v>37.647058823529413</v>
      </c>
      <c r="J30">
        <f>2*(1+F/10)*J29/340</f>
        <v>75.294117647058826</v>
      </c>
      <c r="K30">
        <f>2*(1+F/10)*K29/340</f>
        <v>150.58823529411765</v>
      </c>
    </row>
    <row r="31" spans="1:20" ht="13.5" thickBot="1" x14ac:dyDescent="0.25">
      <c r="A31" s="7" t="s">
        <v>148</v>
      </c>
      <c r="B31">
        <f>10*LOG10(3+20*B30)</f>
        <v>9.5082285018118764</v>
      </c>
      <c r="C31">
        <f t="shared" ref="C31:K31" si="4">10*LOG10(3+20*C30)</f>
        <v>11.71984424841038</v>
      </c>
      <c r="D31">
        <f t="shared" si="4"/>
        <v>14.237276204996867</v>
      </c>
      <c r="E31">
        <f t="shared" si="4"/>
        <v>16.994806387063139</v>
      </c>
      <c r="F31">
        <f t="shared" si="4"/>
        <v>19.872981518845197</v>
      </c>
      <c r="G31">
        <f t="shared" si="4"/>
        <v>22.815680481178529</v>
      </c>
      <c r="H31">
        <f t="shared" si="4"/>
        <v>25.791781205157758</v>
      </c>
      <c r="I31">
        <f t="shared" si="4"/>
        <v>28.784880022099859</v>
      </c>
      <c r="J31">
        <f t="shared" si="4"/>
        <v>31.786553792982684</v>
      </c>
      <c r="K31">
        <f t="shared" si="4"/>
        <v>34.792534223055171</v>
      </c>
    </row>
    <row r="32" spans="1:20" ht="15.75" thickBot="1" x14ac:dyDescent="0.3">
      <c r="A32" s="7" t="s">
        <v>146</v>
      </c>
      <c r="B32" s="15">
        <f>B24-B31</f>
        <v>2.091771498188125</v>
      </c>
      <c r="C32" s="15">
        <f t="shared" ref="C32:K32" si="5">C24-C31</f>
        <v>16.080155751589622</v>
      </c>
      <c r="D32" s="15">
        <f t="shared" si="5"/>
        <v>26.662723795003131</v>
      </c>
      <c r="E32" s="15">
        <f t="shared" si="5"/>
        <v>34.405193612936856</v>
      </c>
      <c r="F32" s="15">
        <f t="shared" si="5"/>
        <v>39.927018481154803</v>
      </c>
      <c r="G32" s="15">
        <f t="shared" si="5"/>
        <v>43.184319518821468</v>
      </c>
      <c r="H32" s="15">
        <f t="shared" si="5"/>
        <v>44.408218794842242</v>
      </c>
      <c r="I32" s="15">
        <f t="shared" si="5"/>
        <v>44.215119977900144</v>
      </c>
      <c r="J32" s="15">
        <f t="shared" si="5"/>
        <v>42.113446207017319</v>
      </c>
      <c r="K32" s="15">
        <f t="shared" si="5"/>
        <v>36.607465776944835</v>
      </c>
      <c r="L32" s="17">
        <f>10*LOG10(L33)</f>
        <v>50.364311108998095</v>
      </c>
      <c r="M32" s="18" t="s">
        <v>133</v>
      </c>
    </row>
    <row r="33" spans="1:21" x14ac:dyDescent="0.2">
      <c r="A33" s="19" t="s">
        <v>145</v>
      </c>
      <c r="B33" s="15">
        <f>10^(B32/10)</f>
        <v>1.6187401912174424</v>
      </c>
      <c r="C33" s="15">
        <f t="shared" ref="C33:K33" si="6">10^(C32/10)</f>
        <v>40.552307851401778</v>
      </c>
      <c r="D33" s="15">
        <f t="shared" si="6"/>
        <v>463.73767414213933</v>
      </c>
      <c r="E33" s="15">
        <f t="shared" si="6"/>
        <v>2757.524382872979</v>
      </c>
      <c r="F33" s="15">
        <f t="shared" si="6"/>
        <v>9833.3579420741553</v>
      </c>
      <c r="G33" s="15">
        <f t="shared" si="6"/>
        <v>20817.661948352656</v>
      </c>
      <c r="H33" s="15">
        <f t="shared" si="6"/>
        <v>27594.45871471908</v>
      </c>
      <c r="I33" s="15">
        <f t="shared" si="6"/>
        <v>26394.412383838626</v>
      </c>
      <c r="J33" s="15">
        <f t="shared" si="6"/>
        <v>16268.391706617906</v>
      </c>
      <c r="K33" s="15">
        <f t="shared" si="6"/>
        <v>4578.7462680238586</v>
      </c>
      <c r="L33" s="15">
        <f>SUM(B33:K33)</f>
        <v>108750.46206868402</v>
      </c>
      <c r="M33" s="15"/>
    </row>
    <row r="34" spans="1:21" x14ac:dyDescent="0.2">
      <c r="A34" s="1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21" ht="18" x14ac:dyDescent="0.2">
      <c r="A35" s="4" t="s">
        <v>114</v>
      </c>
      <c r="J35" s="6" t="s">
        <v>115</v>
      </c>
    </row>
    <row r="36" spans="1:21" ht="15" x14ac:dyDescent="0.2">
      <c r="A36" s="8" t="s">
        <v>116</v>
      </c>
    </row>
    <row r="37" spans="1:21" ht="15" x14ac:dyDescent="0.2">
      <c r="A37" s="8" t="s">
        <v>117</v>
      </c>
    </row>
    <row r="38" spans="1:21" ht="15" x14ac:dyDescent="0.2">
      <c r="A38" s="8" t="s">
        <v>118</v>
      </c>
    </row>
    <row r="39" spans="1:21" ht="15" x14ac:dyDescent="0.2">
      <c r="A39" s="9" t="s">
        <v>119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21" ht="18" x14ac:dyDescent="0.2">
      <c r="A40" s="8" t="s">
        <v>120</v>
      </c>
    </row>
    <row r="41" spans="1:21" ht="18" x14ac:dyDescent="0.2">
      <c r="A41" s="8" t="s">
        <v>121</v>
      </c>
    </row>
    <row r="42" spans="1:21" ht="15" x14ac:dyDescent="0.2">
      <c r="A42" s="4"/>
    </row>
    <row r="43" spans="1:21" ht="15" x14ac:dyDescent="0.2">
      <c r="A43" s="4" t="s">
        <v>10</v>
      </c>
      <c r="J43" s="6" t="s">
        <v>115</v>
      </c>
    </row>
    <row r="44" spans="1:21" ht="15" x14ac:dyDescent="0.2">
      <c r="A44" s="8" t="s">
        <v>122</v>
      </c>
    </row>
    <row r="45" spans="1:21" ht="15" x14ac:dyDescent="0.2">
      <c r="A45" s="8" t="s">
        <v>123</v>
      </c>
    </row>
    <row r="46" spans="1:21" ht="18" x14ac:dyDescent="0.2">
      <c r="A46" s="9" t="s">
        <v>124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5" x14ac:dyDescent="0.2">
      <c r="A47" s="8" t="s">
        <v>125</v>
      </c>
    </row>
    <row r="48" spans="1:21" ht="15" x14ac:dyDescent="0.2">
      <c r="A48" s="8" t="s">
        <v>126</v>
      </c>
    </row>
    <row r="49" spans="1:10" ht="15" x14ac:dyDescent="0.2">
      <c r="A49" s="4"/>
    </row>
    <row r="50" spans="1:10" ht="15" x14ac:dyDescent="0.2">
      <c r="A50" s="4" t="s">
        <v>11</v>
      </c>
    </row>
    <row r="51" spans="1:10" x14ac:dyDescent="0.2">
      <c r="J51" s="6" t="s">
        <v>115</v>
      </c>
    </row>
    <row r="52" spans="1:10" ht="15" x14ac:dyDescent="0.2">
      <c r="A52" s="8" t="s">
        <v>127</v>
      </c>
    </row>
    <row r="53" spans="1:10" ht="15" x14ac:dyDescent="0.2">
      <c r="A53" s="8" t="s">
        <v>128</v>
      </c>
    </row>
    <row r="54" spans="1:10" ht="15" x14ac:dyDescent="0.2">
      <c r="A54" s="8" t="s">
        <v>129</v>
      </c>
    </row>
    <row r="55" spans="1:10" ht="15" x14ac:dyDescent="0.2">
      <c r="A55" s="8" t="s">
        <v>130</v>
      </c>
    </row>
    <row r="56" spans="1:10" ht="18" x14ac:dyDescent="0.2">
      <c r="A56" s="9" t="s">
        <v>131</v>
      </c>
      <c r="B56" s="10"/>
      <c r="C56" s="10"/>
      <c r="D56" s="10"/>
      <c r="E56" s="10"/>
      <c r="F56" s="10"/>
      <c r="G5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 Responses 1</vt:lpstr>
      <vt:lpstr>Solution</vt:lpstr>
      <vt:lpstr>A</vt:lpstr>
      <vt:lpstr>B</vt:lpstr>
      <vt:lpstr>CC</vt:lpstr>
      <vt:lpstr>D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farina</cp:lastModifiedBy>
  <dcterms:created xsi:type="dcterms:W3CDTF">2018-12-15T15:52:25Z</dcterms:created>
  <dcterms:modified xsi:type="dcterms:W3CDTF">2018-12-15T18:22:34Z</dcterms:modified>
</cp:coreProperties>
</file>