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arina\Corsi\Applied-Acoustics\Tests-2018\"/>
    </mc:Choice>
  </mc:AlternateContent>
  <bookViews>
    <workbookView xWindow="18240" yWindow="30" windowWidth="11295" windowHeight="5985"/>
  </bookViews>
  <sheets>
    <sheet name="Form Responses 1" sheetId="4" r:id="rId1"/>
    <sheet name="Solution" sheetId="1" r:id="rId2"/>
  </sheets>
  <externalReferences>
    <externalReference r:id="rId3"/>
    <externalReference r:id="rId4"/>
    <externalReference r:id="rId5"/>
  </externalReferences>
  <definedNames>
    <definedName name="_Cir1">[1]Calcoli!#REF!</definedName>
    <definedName name="_Cir2">#REF!</definedName>
    <definedName name="_Cir3">#REF!</definedName>
    <definedName name="_Crr2">#REF!</definedName>
    <definedName name="_Crr3">#REF!</definedName>
    <definedName name="_Lam1">[2]Calcoli!#REF!</definedName>
    <definedName name="_Lam2">[2]Calcoli!#REF!</definedName>
    <definedName name="_Lam3">#REF!</definedName>
    <definedName name="_MA1">[1]Calcoli!#REF!</definedName>
    <definedName name="_MA2">[1]Calcoli!#REF!</definedName>
    <definedName name="_Ni1">[2]Calcoli!#REF!</definedName>
    <definedName name="_Ni2">[2]Calcoli!#REF!</definedName>
    <definedName name="_Ni3">[2]Calcoli!#REF!</definedName>
    <definedName name="_Ni4">[2]Calcoli!#REF!</definedName>
    <definedName name="_Ni5">[2]Calcoli!#REF!</definedName>
    <definedName name="_Ni6">[2]Calcoli!#REF!</definedName>
    <definedName name="_Phi1">[1]Calcoli!$F$15</definedName>
    <definedName name="_Phi2">[2]Calcoli!#REF!</definedName>
    <definedName name="_Pr1">[1]Calcoli!#REF!</definedName>
    <definedName name="_Pr2">[1]Calcoli!#REF!</definedName>
    <definedName name="_Pr3">[1]Calcoli!#REF!</definedName>
    <definedName name="_Pr4">[1]Calcoli!#REF!</definedName>
    <definedName name="_Pr5">[1]Calcoli!#REF!</definedName>
    <definedName name="_Pr6">[1]Calcoli!#REF!</definedName>
    <definedName name="_Ps1">#REF!</definedName>
    <definedName name="_Ps2">#REF!</definedName>
    <definedName name="_Re1">[1]Calcoli!#REF!</definedName>
    <definedName name="_Re2">[1]Calcoli!#REF!</definedName>
    <definedName name="_Re3">[1]Calcoli!#REF!</definedName>
    <definedName name="_Re4">[1]Calcoli!#REF!</definedName>
    <definedName name="_Re5">[1]Calcoli!#REF!</definedName>
    <definedName name="_Sup1">#REF!</definedName>
    <definedName name="_Sup2">#REF!</definedName>
    <definedName name="_Sup3">#REF!</definedName>
    <definedName name="_Tau1">#REF!</definedName>
    <definedName name="_Tau2">#REF!</definedName>
    <definedName name="_Tit1">[2]Calcoli!#REF!</definedName>
    <definedName name="_TT1">[1]Calcoli!$B$12</definedName>
    <definedName name="_TT2">[1]Calcoli!$B$13</definedName>
    <definedName name="_UU1">[1]Calcoli!#REF!</definedName>
    <definedName name="_UU2">[1]Calcoli!#REF!</definedName>
    <definedName name="_UU3">[1]Calcoli!#REF!</definedName>
    <definedName name="_UU4">[1]Calcoli!#REF!</definedName>
    <definedName name="_UU5">[1]Calcoli!#REF!</definedName>
    <definedName name="_xx1">[2]Calcoli!#REF!</definedName>
    <definedName name="_xx2">[2]Calcoli!#REF!</definedName>
    <definedName name="A">Solution!$E$3</definedName>
    <definedName name="AA">Solution!#REF!</definedName>
    <definedName name="AAA">Solution!#REF!</definedName>
    <definedName name="AB">#REF!</definedName>
    <definedName name="Area">#REF!</definedName>
    <definedName name="B">Solution!$G$3</definedName>
    <definedName name="BC">#REF!</definedName>
    <definedName name="BCDEF">#REF!</definedName>
    <definedName name="Beta">#REF!</definedName>
    <definedName name="CC">Solution!$I$3</definedName>
    <definedName name="CD">#REF!</definedName>
    <definedName name="cp">#REF!</definedName>
    <definedName name="cpa">#REF!</definedName>
    <definedName name="Crfilo">#REF!</definedName>
    <definedName name="Crpalo">#REF!</definedName>
    <definedName name="cvn">[1]Calcoli!#REF!</definedName>
    <definedName name="cvo">[1]Calcoli!#REF!</definedName>
    <definedName name="Cx">#REF!</definedName>
    <definedName name="D">Solution!$K$3</definedName>
    <definedName name="DD">#REF!</definedName>
    <definedName name="DE">[3]Calcoli!$E$6</definedName>
    <definedName name="delta">Solution!#REF!</definedName>
    <definedName name="DeltaP">#REF!</definedName>
    <definedName name="Dest">#REF!</definedName>
    <definedName name="Dfilo">[2]Calcoli!#REF!</definedName>
    <definedName name="DIA">#REF!</definedName>
    <definedName name="Diam">#REF!</definedName>
    <definedName name="dist">#REF!</definedName>
    <definedName name="Dpalo">[2]Calcoli!#REF!</definedName>
    <definedName name="DT">[2]Calcoli!#REF!</definedName>
    <definedName name="DTml">#REF!</definedName>
    <definedName name="DTml_Qp">#REF!</definedName>
    <definedName name="E">Solution!$M$3</definedName>
    <definedName name="EF">#REF!</definedName>
    <definedName name="F">Solution!$O$3</definedName>
    <definedName name="H">Solution!#REF!</definedName>
    <definedName name="h.gjdgxs" localSheetId="1">Solution!#REF!</definedName>
    <definedName name="hconv">[2]Calcoli!#REF!</definedName>
    <definedName name="he">#REF!</definedName>
    <definedName name="hest">#REF!</definedName>
    <definedName name="hi">#REF!</definedName>
    <definedName name="hl">#REF!</definedName>
    <definedName name="K">#REF!</definedName>
    <definedName name="Ktot">[2]Calcoli!#REF!</definedName>
    <definedName name="L">#REF!</definedName>
    <definedName name="Lambda">#REF!</definedName>
    <definedName name="Lambda1">#REF!</definedName>
    <definedName name="Lambda2">#REF!</definedName>
    <definedName name="lambda3">[2]Calcoli!#REF!</definedName>
    <definedName name="Lambdai">#REF!</definedName>
    <definedName name="Lamda1">#REF!</definedName>
    <definedName name="Lep">[1]Calcoli!#REF!</definedName>
    <definedName name="Leq">[1]Calcoli!#REF!</definedName>
    <definedName name="LL">#REF!</definedName>
    <definedName name="Lp">#REF!</definedName>
    <definedName name="Ltot">#REF!</definedName>
    <definedName name="Lw">#REF!</definedName>
    <definedName name="Lwa">#REF!</definedName>
    <definedName name="M">#REF!</definedName>
    <definedName name="Macqua">#REF!</definedName>
    <definedName name="Maria">#REF!</definedName>
    <definedName name="Mavio">[1]Calcoli!$F$13</definedName>
    <definedName name="Mn">[2]Calcoli!#REF!</definedName>
    <definedName name="Mo">[2]Calcoli!#REF!</definedName>
    <definedName name="Mpunto">#REF!</definedName>
    <definedName name="Mtot">[2]Calcoli!#REF!</definedName>
    <definedName name="N">#REF!</definedName>
    <definedName name="Ni">#REF!</definedName>
    <definedName name="Niaria">#REF!</definedName>
    <definedName name="Nices">[2]Calcoli!#REF!</definedName>
    <definedName name="Niinf">#REF!</definedName>
    <definedName name="Nipar">#REF!</definedName>
    <definedName name="Nu">#REF!</definedName>
    <definedName name="p_atm">#REF!</definedName>
    <definedName name="patm">#REF!</definedName>
    <definedName name="Pfin">#REF!</definedName>
    <definedName name="Phi">#REF!</definedName>
    <definedName name="Phifin">[1]Calcoli!#REF!</definedName>
    <definedName name="Piniz">#REF!</definedName>
    <definedName name="Pn">[1]Calcoli!#REF!</definedName>
    <definedName name="Po">[1]Calcoli!#REF!</definedName>
    <definedName name="Portata">[2]Calcoli!#REF!</definedName>
    <definedName name="Pout">#REF!</definedName>
    <definedName name="Pr">#REF!</definedName>
    <definedName name="prel">#REF!</definedName>
    <definedName name="Psat">#REF!</definedName>
    <definedName name="Psfin">#REF!</definedName>
    <definedName name="Q">#REF!</definedName>
    <definedName name="Q_2">#REF!</definedName>
    <definedName name="Qc">#REF!</definedName>
    <definedName name="Qm">#REF!</definedName>
    <definedName name="Qp">#REF!</definedName>
    <definedName name="Qpunto">#REF!</definedName>
    <definedName name="Qscamb">[2]Calcoli!#REF!</definedName>
    <definedName name="R_aria">#REF!</definedName>
    <definedName name="Raggio1">#REF!</definedName>
    <definedName name="Raggio2">#REF!</definedName>
    <definedName name="Re">#REF!</definedName>
    <definedName name="Refilo">[2]Calcoli!#REF!</definedName>
    <definedName name="Repalo">[2]Calcoli!#REF!</definedName>
    <definedName name="Rho">#REF!</definedName>
    <definedName name="Rho_H2O">#REF!</definedName>
    <definedName name="Rhoa">[2]Calcoli!#REF!</definedName>
    <definedName name="RhoAria">#REF!</definedName>
    <definedName name="RhoL">[1]Calcoli!#REF!</definedName>
    <definedName name="Rhos">[2]Calcoli!#REF!</definedName>
    <definedName name="rr">#REF!</definedName>
    <definedName name="Rtot">[1]Calcoli!#REF!</definedName>
    <definedName name="Runodue">#REF!</definedName>
    <definedName name="s">#REF!</definedName>
    <definedName name="sd">#REF!</definedName>
    <definedName name="sl">#REF!</definedName>
    <definedName name="spess1">[2]Calcoli!#REF!</definedName>
    <definedName name="spess2">[2]Calcoli!#REF!</definedName>
    <definedName name="spess3">[2]Calcoli!#REF!</definedName>
    <definedName name="SS">Solution!#REF!</definedName>
    <definedName name="Stot">Solution!#REF!</definedName>
    <definedName name="T">Solution!#REF!</definedName>
    <definedName name="T_1">#REF!</definedName>
    <definedName name="Ta">#REF!</definedName>
    <definedName name="Tar">#REF!</definedName>
    <definedName name="Taria">[2]Calcoli!#REF!</definedName>
    <definedName name="TauSvuot">#REF!</definedName>
    <definedName name="Te">#REF!</definedName>
    <definedName name="Temp1">#REF!</definedName>
    <definedName name="Tempo1">#REF!</definedName>
    <definedName name="Tempo2">#REF!</definedName>
    <definedName name="TempoTot">#REF!</definedName>
    <definedName name="Tfin">#REF!</definedName>
    <definedName name="Tin">#REF!</definedName>
    <definedName name="Tinf">#REF!</definedName>
    <definedName name="Tiniz">#REF!</definedName>
    <definedName name="Titolo1">[2]Calcoli!#REF!</definedName>
    <definedName name="Tmed1">[2]Calcoli!#REF!</definedName>
    <definedName name="Tmed2">[2]Calcoli!#REF!</definedName>
    <definedName name="Tmed3">[2]Calcoli!#REF!</definedName>
    <definedName name="Tmed4">[2]Calcoli!#REF!</definedName>
    <definedName name="Tmed5">[2]Calcoli!#REF!</definedName>
    <definedName name="Tmed6">[2]Calcoli!#REF!</definedName>
    <definedName name="Tmedia">#REF!</definedName>
    <definedName name="Tn">[2]Calcoli!#REF!</definedName>
    <definedName name="To">[2]Calcoli!#REF!</definedName>
    <definedName name="Tout">#REF!</definedName>
    <definedName name="Tpar">[2]Calcoli!#REF!</definedName>
    <definedName name="Tsat">#REF!</definedName>
    <definedName name="Tsat2">#REF!</definedName>
    <definedName name="U">#REF!</definedName>
    <definedName name="Ua">[2]Calcoli!#REF!</definedName>
    <definedName name="uaria">[2]Calcoli!#REF!</definedName>
    <definedName name="Ub">[3]Calcoli!#REF!</definedName>
    <definedName name="Ufin">[1]Calcoli!#REF!</definedName>
    <definedName name="Uinf">#REF!</definedName>
    <definedName name="V">Solution!#REF!</definedName>
    <definedName name="Va">#REF!</definedName>
    <definedName name="Vel">#REF!</definedName>
    <definedName name="Vn">[2]Calcoli!#REF!</definedName>
    <definedName name="Vo">[2]Calcoli!#REF!</definedName>
    <definedName name="VV">Solution!#REF!</definedName>
    <definedName name="W">#REF!</definedName>
    <definedName name="WW">#REF!</definedName>
    <definedName name="x">#REF!</definedName>
    <definedName name="xfin">#REF!</definedName>
    <definedName name="XX">[2]Calcoli!#REF!</definedName>
    <definedName name="XXX1">[2]Calcoli!#REF!</definedName>
  </definedNames>
  <calcPr calcId="162913"/>
</workbook>
</file>

<file path=xl/calcChain.xml><?xml version="1.0" encoding="utf-8"?>
<calcChain xmlns="http://schemas.openxmlformats.org/spreadsheetml/2006/main">
  <c r="AP17" i="4" l="1"/>
  <c r="AP16" i="4"/>
  <c r="AP15" i="4"/>
  <c r="AP14" i="4"/>
  <c r="AP13" i="4"/>
  <c r="AP12" i="4"/>
  <c r="AP11" i="4"/>
  <c r="AP10" i="4"/>
  <c r="AP9" i="4"/>
  <c r="AP8" i="4"/>
  <c r="AP7" i="4"/>
  <c r="AP6" i="4"/>
  <c r="AP5" i="4"/>
  <c r="AP4" i="4"/>
  <c r="AP2" i="4"/>
  <c r="AP3" i="4"/>
  <c r="AN17" i="4"/>
  <c r="AO17" i="4" s="1"/>
  <c r="AO16" i="4"/>
  <c r="AN16" i="4"/>
  <c r="AO15" i="4"/>
  <c r="AN15" i="4"/>
  <c r="AN14" i="4"/>
  <c r="AO14" i="4" s="1"/>
  <c r="AN13" i="4"/>
  <c r="AO13" i="4" s="1"/>
  <c r="AN12" i="4"/>
  <c r="AO12" i="4" s="1"/>
  <c r="AN11" i="4"/>
  <c r="AO11" i="4" s="1"/>
  <c r="AN10" i="4"/>
  <c r="AO10" i="4" s="1"/>
  <c r="AO9" i="4"/>
  <c r="AN9" i="4"/>
  <c r="AN8" i="4"/>
  <c r="AO8" i="4" s="1"/>
  <c r="AN7" i="4"/>
  <c r="AO7" i="4" s="1"/>
  <c r="AN6" i="4"/>
  <c r="AO6" i="4" s="1"/>
  <c r="AN5" i="4"/>
  <c r="AO5" i="4" s="1"/>
  <c r="AN4" i="4"/>
  <c r="AO4" i="4" s="1"/>
  <c r="AO3" i="4"/>
  <c r="AN3" i="4"/>
  <c r="AN2" i="4"/>
  <c r="AO2" i="4" s="1"/>
  <c r="AF14" i="4"/>
  <c r="AF16" i="4"/>
  <c r="AF17" i="4"/>
  <c r="AB16" i="4"/>
  <c r="R17" i="4"/>
  <c r="Q17" i="4"/>
  <c r="P17" i="4"/>
  <c r="O17" i="4"/>
  <c r="N17" i="4"/>
  <c r="R16" i="4"/>
  <c r="Q16" i="4"/>
  <c r="P16" i="4"/>
  <c r="O16" i="4"/>
  <c r="N16" i="4"/>
  <c r="R15" i="4"/>
  <c r="Q15" i="4"/>
  <c r="P15" i="4"/>
  <c r="O15" i="4"/>
  <c r="N15" i="4"/>
  <c r="R14" i="4"/>
  <c r="Q14" i="4"/>
  <c r="P14" i="4"/>
  <c r="O14" i="4"/>
  <c r="N14" i="4"/>
  <c r="R13" i="4"/>
  <c r="Q13" i="4"/>
  <c r="P13" i="4"/>
  <c r="O13" i="4"/>
  <c r="N13" i="4"/>
  <c r="R12" i="4"/>
  <c r="Q12" i="4"/>
  <c r="P12" i="4"/>
  <c r="O12" i="4"/>
  <c r="N12" i="4"/>
  <c r="R11" i="4"/>
  <c r="Q11" i="4"/>
  <c r="P11" i="4"/>
  <c r="O11" i="4"/>
  <c r="N11" i="4"/>
  <c r="R10" i="4"/>
  <c r="Q10" i="4"/>
  <c r="P10" i="4"/>
  <c r="O10" i="4"/>
  <c r="N10" i="4"/>
  <c r="R9" i="4"/>
  <c r="Q9" i="4"/>
  <c r="P9" i="4"/>
  <c r="O9" i="4"/>
  <c r="N9" i="4"/>
  <c r="R8" i="4"/>
  <c r="Q8" i="4"/>
  <c r="P8" i="4"/>
  <c r="O8" i="4"/>
  <c r="N8" i="4"/>
  <c r="R7" i="4"/>
  <c r="Q7" i="4"/>
  <c r="P7" i="4"/>
  <c r="O7" i="4"/>
  <c r="N7" i="4"/>
  <c r="R6" i="4"/>
  <c r="Q6" i="4"/>
  <c r="P6" i="4"/>
  <c r="O6" i="4"/>
  <c r="N6" i="4"/>
  <c r="R5" i="4"/>
  <c r="Q5" i="4"/>
  <c r="P5" i="4"/>
  <c r="O5" i="4"/>
  <c r="N5" i="4"/>
  <c r="R4" i="4"/>
  <c r="Q4" i="4"/>
  <c r="P4" i="4"/>
  <c r="O4" i="4"/>
  <c r="N4" i="4"/>
  <c r="R3" i="4"/>
  <c r="Q3" i="4"/>
  <c r="P3" i="4"/>
  <c r="O3" i="4"/>
  <c r="N3" i="4"/>
  <c r="R2" i="4"/>
  <c r="Q2" i="4"/>
  <c r="P2" i="4"/>
  <c r="O2" i="4"/>
  <c r="N2" i="4"/>
  <c r="F3" i="4"/>
  <c r="G3" i="4" s="1"/>
  <c r="H3" i="4" s="1"/>
  <c r="F4" i="4"/>
  <c r="G4" i="4" s="1"/>
  <c r="F5" i="4"/>
  <c r="F6" i="4"/>
  <c r="F7" i="4"/>
  <c r="G7" i="4" s="1"/>
  <c r="F8" i="4"/>
  <c r="G8" i="4" s="1"/>
  <c r="F9" i="4"/>
  <c r="G9" i="4"/>
  <c r="F10" i="4"/>
  <c r="F11" i="4"/>
  <c r="G11" i="4" s="1"/>
  <c r="F12" i="4"/>
  <c r="G12" i="4" s="1"/>
  <c r="F13" i="4"/>
  <c r="G13" i="4"/>
  <c r="F14" i="4"/>
  <c r="F15" i="4"/>
  <c r="G15" i="4" s="1"/>
  <c r="F16" i="4"/>
  <c r="G16" i="4" s="1"/>
  <c r="F17" i="4"/>
  <c r="F2" i="4"/>
  <c r="G2" i="4" s="1"/>
  <c r="H13" i="4" l="1"/>
  <c r="J13" i="4" s="1"/>
  <c r="K13" i="4" s="1"/>
  <c r="H9" i="4"/>
  <c r="I9" i="4" s="1"/>
  <c r="I13" i="4"/>
  <c r="H4" i="4"/>
  <c r="I4" i="4" s="1"/>
  <c r="J4" i="4" s="1"/>
  <c r="K4" i="4" s="1"/>
  <c r="H8" i="4"/>
  <c r="I8" i="4" s="1"/>
  <c r="J8" i="4" s="1"/>
  <c r="H16" i="4"/>
  <c r="I16" i="4" s="1"/>
  <c r="J16" i="4" s="1"/>
  <c r="H15" i="4"/>
  <c r="H7" i="4"/>
  <c r="I7" i="4" s="1"/>
  <c r="G17" i="4"/>
  <c r="H12" i="4"/>
  <c r="I12" i="4" s="1"/>
  <c r="H11" i="4"/>
  <c r="G14" i="4"/>
  <c r="H14" i="4" s="1"/>
  <c r="I14" i="4" s="1"/>
  <c r="J14" i="4" s="1"/>
  <c r="K14" i="4" s="1"/>
  <c r="G10" i="4"/>
  <c r="H10" i="4" s="1"/>
  <c r="G6" i="4"/>
  <c r="H6" i="4" s="1"/>
  <c r="I3" i="4"/>
  <c r="J3" i="4" s="1"/>
  <c r="K3" i="4" s="1"/>
  <c r="G5" i="4"/>
  <c r="H2" i="4"/>
  <c r="I2" i="4"/>
  <c r="E3" i="1"/>
  <c r="I6" i="4" l="1"/>
  <c r="K9" i="4"/>
  <c r="AH13" i="4"/>
  <c r="AI13" i="4" s="1"/>
  <c r="AK13" i="4"/>
  <c r="AL13" i="4" s="1"/>
  <c r="AH14" i="4"/>
  <c r="AI14" i="4" s="1"/>
  <c r="AK14" i="4"/>
  <c r="AL14" i="4" s="1"/>
  <c r="J15" i="4"/>
  <c r="AH3" i="4"/>
  <c r="AI3" i="4" s="1"/>
  <c r="AK3" i="4"/>
  <c r="AL3" i="4" s="1"/>
  <c r="I15" i="4"/>
  <c r="J9" i="4"/>
  <c r="H17" i="4"/>
  <c r="AK4" i="4"/>
  <c r="AL4" i="4" s="1"/>
  <c r="AH4" i="4"/>
  <c r="AI4" i="4" s="1"/>
  <c r="Z14" i="4"/>
  <c r="AR14" i="4"/>
  <c r="AS14" i="4" s="1"/>
  <c r="AD14" i="4" s="1"/>
  <c r="Z13" i="4"/>
  <c r="AB13" i="4" s="1"/>
  <c r="AR13" i="4"/>
  <c r="AS13" i="4" s="1"/>
  <c r="AD13" i="4" s="1"/>
  <c r="AR4" i="4"/>
  <c r="AS4" i="4" s="1"/>
  <c r="AD4" i="4" s="1"/>
  <c r="AF4" i="4" s="1"/>
  <c r="Z4" i="4"/>
  <c r="AB4" i="4" s="1"/>
  <c r="J7" i="4"/>
  <c r="K7" i="4" s="1"/>
  <c r="I11" i="4"/>
  <c r="J11" i="4" s="1"/>
  <c r="J2" i="4"/>
  <c r="AR3" i="4"/>
  <c r="AS3" i="4" s="1"/>
  <c r="AD3" i="4" s="1"/>
  <c r="Z3" i="4"/>
  <c r="AB3" i="4" s="1"/>
  <c r="I10" i="4"/>
  <c r="J10" i="4" s="1"/>
  <c r="K10" i="4" s="1"/>
  <c r="K16" i="4"/>
  <c r="H5" i="4"/>
  <c r="K8" i="4"/>
  <c r="J12" i="4"/>
  <c r="K12" i="4" s="1"/>
  <c r="K2" i="4"/>
  <c r="G3" i="1"/>
  <c r="I3" i="1" s="1"/>
  <c r="K3" i="1" s="1"/>
  <c r="AK9" i="4" l="1"/>
  <c r="AL9" i="4" s="1"/>
  <c r="AH9" i="4"/>
  <c r="AI9" i="4" s="1"/>
  <c r="AH7" i="4"/>
  <c r="AI7" i="4" s="1"/>
  <c r="AK7" i="4"/>
  <c r="AL7" i="4" s="1"/>
  <c r="AK16" i="4"/>
  <c r="AL16" i="4" s="1"/>
  <c r="AH16" i="4"/>
  <c r="AI16" i="4" s="1"/>
  <c r="J6" i="4"/>
  <c r="K6" i="4" s="1"/>
  <c r="AK10" i="4"/>
  <c r="AL10" i="4" s="1"/>
  <c r="AH10" i="4"/>
  <c r="AI10" i="4" s="1"/>
  <c r="I17" i="4"/>
  <c r="J17" i="4" s="1"/>
  <c r="K11" i="4"/>
  <c r="K15" i="4"/>
  <c r="AK12" i="4"/>
  <c r="AL12" i="4" s="1"/>
  <c r="AH12" i="4"/>
  <c r="AI12" i="4" s="1"/>
  <c r="Z9" i="4"/>
  <c r="AB9" i="4" s="1"/>
  <c r="AR9" i="4"/>
  <c r="AS9" i="4" s="1"/>
  <c r="AD9" i="4" s="1"/>
  <c r="AF9" i="4" s="1"/>
  <c r="AH8" i="4"/>
  <c r="AI8" i="4" s="1"/>
  <c r="AK8" i="4"/>
  <c r="AL8" i="4" s="1"/>
  <c r="AK2" i="4"/>
  <c r="AL2" i="4" s="1"/>
  <c r="AH2" i="4"/>
  <c r="AI2" i="4" s="1"/>
  <c r="Z7" i="4"/>
  <c r="AB7" i="4" s="1"/>
  <c r="AR7" i="4"/>
  <c r="AS7" i="4" s="1"/>
  <c r="AD7" i="4" s="1"/>
  <c r="AR10" i="4"/>
  <c r="AS10" i="4" s="1"/>
  <c r="AD10" i="4" s="1"/>
  <c r="AF10" i="4" s="1"/>
  <c r="Z10" i="4"/>
  <c r="AB10" i="4" s="1"/>
  <c r="AR2" i="4"/>
  <c r="AS2" i="4" s="1"/>
  <c r="AD2" i="4" s="1"/>
  <c r="AF2" i="4" s="1"/>
  <c r="Z2" i="4"/>
  <c r="AB2" i="4" s="1"/>
  <c r="Z16" i="4"/>
  <c r="AR16" i="4"/>
  <c r="AS16" i="4" s="1"/>
  <c r="AD16" i="4" s="1"/>
  <c r="AR11" i="4"/>
  <c r="AS11" i="4" s="1"/>
  <c r="AD11" i="4" s="1"/>
  <c r="AF11" i="4" s="1"/>
  <c r="Z11" i="4"/>
  <c r="AB11" i="4" s="1"/>
  <c r="Z12" i="4"/>
  <c r="AB12" i="4" s="1"/>
  <c r="AR12" i="4"/>
  <c r="AS12" i="4" s="1"/>
  <c r="AD12" i="4" s="1"/>
  <c r="AF12" i="4" s="1"/>
  <c r="Z8" i="4"/>
  <c r="AB8" i="4" s="1"/>
  <c r="AR8" i="4"/>
  <c r="AS8" i="4" s="1"/>
  <c r="AD8" i="4" s="1"/>
  <c r="AF8" i="4" s="1"/>
  <c r="I5" i="4"/>
  <c r="J5" i="4" s="1"/>
  <c r="M3" i="1"/>
  <c r="O3" i="1" s="1"/>
  <c r="AK6" i="4" l="1"/>
  <c r="AL6" i="4" s="1"/>
  <c r="AH6" i="4"/>
  <c r="AI6" i="4" s="1"/>
  <c r="AR6" i="4"/>
  <c r="AS6" i="4" s="1"/>
  <c r="AD6" i="4" s="1"/>
  <c r="Z6" i="4"/>
  <c r="AB6" i="4" s="1"/>
  <c r="AH15" i="4"/>
  <c r="AI15" i="4" s="1"/>
  <c r="AK15" i="4"/>
  <c r="AL15" i="4" s="1"/>
  <c r="AR15" i="4"/>
  <c r="AS15" i="4" s="1"/>
  <c r="AD15" i="4" s="1"/>
  <c r="Z15" i="4"/>
  <c r="AB15" i="4" s="1"/>
  <c r="AH11" i="4"/>
  <c r="AI11" i="4" s="1"/>
  <c r="AK11" i="4"/>
  <c r="AL11" i="4" s="1"/>
  <c r="K17" i="4"/>
  <c r="K5" i="4"/>
  <c r="D48" i="1"/>
  <c r="G48" i="1" s="1"/>
  <c r="AH17" i="4" l="1"/>
  <c r="AI17" i="4" s="1"/>
  <c r="AK17" i="4"/>
  <c r="AL17" i="4" s="1"/>
  <c r="AR17" i="4"/>
  <c r="AS17" i="4" s="1"/>
  <c r="AD17" i="4" s="1"/>
  <c r="Z17" i="4"/>
  <c r="AB17" i="4" s="1"/>
  <c r="AK5" i="4"/>
  <c r="AL5" i="4" s="1"/>
  <c r="AH5" i="4"/>
  <c r="AI5" i="4" s="1"/>
  <c r="AR5" i="4"/>
  <c r="AS5" i="4" s="1"/>
  <c r="AD5" i="4" s="1"/>
  <c r="Z5" i="4"/>
  <c r="AB5" i="4" s="1"/>
  <c r="G42" i="1"/>
  <c r="G34" i="1"/>
  <c r="G45" i="1"/>
  <c r="D38" i="1"/>
  <c r="D39" i="1" s="1"/>
  <c r="G38" i="1" s="1"/>
  <c r="G39" i="1" s="1"/>
</calcChain>
</file>

<file path=xl/sharedStrings.xml><?xml version="1.0" encoding="utf-8"?>
<sst xmlns="http://schemas.openxmlformats.org/spreadsheetml/2006/main" count="266" uniqueCount="153">
  <si>
    <t>Matricola</t>
  </si>
  <si>
    <t>(write number and measurement unit)</t>
  </si>
  <si>
    <t>Surname and Name</t>
  </si>
  <si>
    <t xml:space="preserve"> </t>
  </si>
  <si>
    <t>s</t>
  </si>
  <si>
    <t>(one answer only)</t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</si>
  <si>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reduction of modulation due to noise and echoes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</si>
  <si>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ratio between the initial modulation and the modulation of the received sound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</si>
  <si>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ratio between modulation of the received sound and the initial modulation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</si>
  <si>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signal to noise ratio for a given modulation frequency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</si>
  <si>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value of STI for a given octave band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</si>
  <si>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integral of current time multiplied by squared pressure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</si>
  <si>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integral of current time multiplied by squared pressure divided by the integral of squared pressure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</si>
  <si>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integral of the ratio between current time multiplied by squared pressure divided by the squared pressure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</si>
  <si>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time at which the previous energy equates the subsequent energy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</si>
  <si>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time between the sound is emitted and the sound is received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</si>
  <si>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It is the ratio between the lateral sound and the total sound over the first 80 ms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</si>
  <si>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It is the ratio between the integral of the squared signal from a figure of 8 microphone and the integral of the squared signal of an omni microphone over the first 80 ms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</si>
  <si>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It is the cross correlation between the signals of an omni and a figure of eight microphones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</si>
  <si>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It is integral of the ratio of the squared signals coming from a figure of eight and an omni microphones, evaluated between 5 ms and 80 ms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</si>
  <si>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It is the ratio between the integral of the squared signal from a figure of 8 microphone evaluated from 5 to 80 ms and the integral of the squared signal of an omni microphone evaluated from 0 to 80 ms</t>
    </r>
  </si>
  <si>
    <t>T20 =</t>
  </si>
  <si>
    <t>Compute the quantity of absorbing material, having an absorption coefficient of 0.3+E/30, to be inserted for getting an SPL reduction of the reverberant field of 5 dB</t>
  </si>
  <si>
    <t>A1 =</t>
  </si>
  <si>
    <t>A2 =</t>
  </si>
  <si>
    <t>Delta A =</t>
  </si>
  <si>
    <t>S2 =</t>
  </si>
  <si>
    <t>r =</t>
  </si>
  <si>
    <t>a =</t>
  </si>
  <si>
    <t>a = α - t</t>
  </si>
  <si>
    <t>r =  1 - α</t>
  </si>
  <si>
    <r>
      <t>α</t>
    </r>
    <r>
      <rPr>
        <b/>
        <sz val="9.5"/>
        <rFont val="Arial"/>
        <family val="2"/>
      </rPr>
      <t xml:space="preserve"> =</t>
    </r>
  </si>
  <si>
    <t>T = 60 / slope</t>
  </si>
  <si>
    <t>S2 = DeltaA/α2</t>
  </si>
  <si>
    <t>Applied Acoustics test - 23/11/2018</t>
  </si>
  <si>
    <t>Timestamp</t>
  </si>
  <si>
    <t>Email Address</t>
  </si>
  <si>
    <t>Matricula</t>
  </si>
  <si>
    <t>1) What are the relations between α a, r and t ?</t>
  </si>
  <si>
    <t>2) What is the definition of Modulation Transfer Function ?</t>
  </si>
  <si>
    <t>3) What is the definition of center time ts?</t>
  </si>
  <si>
    <t>5) Compute the value of T20 in a room where the integrated Schroeder plot show a linear decay with a slope of 30+F dB/s</t>
  </si>
  <si>
    <t>6) In a cubic room, with a side of 5+F/2 m and an average absorption coefficient α=0.1+D/100, the SPL is too large. Compute the quantity of absorbing material, having an absorption coefficient of 0.3+E/30, to be inserted for getting an SPL reduction of the reverberant field of 5 dB</t>
  </si>
  <si>
    <t>7) An acoustic panel has a value of α =0.3+F/30 and of t=0.1. Compute the value of the sound absorption coefficient a.</t>
  </si>
  <si>
    <t>8) Compute the value of r for the acoustic panel of previous exercise.</t>
  </si>
  <si>
    <t>9) The sound reflected by a surface is attenuated by 10+E dB. Compute its absorption coefficient α.</t>
  </si>
  <si>
    <t>edoardo.menghini@studenti.unipr.it</t>
  </si>
  <si>
    <t>Menghini Edoardo</t>
  </si>
  <si>
    <t>a + r + t = 1        (multiple answers), α = 1 - r = a + t</t>
  </si>
  <si>
    <t>The ratio between modulation of the received sound and the initial modulation</t>
  </si>
  <si>
    <t>The integral of current time multiplied by squared pressure divided by the integral of squared pressure</t>
  </si>
  <si>
    <t>It is the ratio between the integral of the squared signal from a figure of 8 microphone evaluated from 5 to 80 ms and the integral of the squared signal of an omni microphone evaluated from 0 to 80 ms</t>
  </si>
  <si>
    <t>1.76 s</t>
  </si>
  <si>
    <t>254.3 m2</t>
  </si>
  <si>
    <t>veronica.mattioli@studenti.unipr.it</t>
  </si>
  <si>
    <t>Mattioli Veronica</t>
  </si>
  <si>
    <t>1.67 s</t>
  </si>
  <si>
    <t>229.66 mq</t>
  </si>
  <si>
    <t>luca.pagliarini@studenti.unipr.it</t>
  </si>
  <si>
    <t>Pagliarini Luca</t>
  </si>
  <si>
    <t>1.54 s</t>
  </si>
  <si>
    <t>257.5 m2</t>
  </si>
  <si>
    <t>nicholas.rocchi@studenti.unipr.it</t>
  </si>
  <si>
    <t>Rocchi Nicholas</t>
  </si>
  <si>
    <t>1.818 s</t>
  </si>
  <si>
    <t>164.441 m^2</t>
  </si>
  <si>
    <t>mounisha.minumula@studenti.unipr.it</t>
  </si>
  <si>
    <t xml:space="preserve">Minumulamounisha </t>
  </si>
  <si>
    <t>1.5384 s</t>
  </si>
  <si>
    <t>512.5942 mq</t>
  </si>
  <si>
    <t>francesco.cabrini1@studenti.unipr.it</t>
  </si>
  <si>
    <t>Cabrini Francesco</t>
  </si>
  <si>
    <t>1.875 s</t>
  </si>
  <si>
    <t>87.57 m^2</t>
  </si>
  <si>
    <t>angelo.traina@studenti.unipr.it</t>
  </si>
  <si>
    <t>Traina Angelo</t>
  </si>
  <si>
    <t>1.579 s</t>
  </si>
  <si>
    <t>420.35 m2</t>
  </si>
  <si>
    <t>lucia.gallegoolivares@studenti.unipr.it</t>
  </si>
  <si>
    <t>GALLEGO OLIVARES, LUCIA</t>
  </si>
  <si>
    <t>1.538 s</t>
  </si>
  <si>
    <t>486.36 m2</t>
  </si>
  <si>
    <t>marco.simonazzi1@studenti.unipr.it</t>
  </si>
  <si>
    <t>Simonazzi Marco</t>
  </si>
  <si>
    <t>1.935 s</t>
  </si>
  <si>
    <t>117.736 m2</t>
  </si>
  <si>
    <t>khuram.shahzad@studenti.unipr.it</t>
  </si>
  <si>
    <t>Shahzad Khuram</t>
  </si>
  <si>
    <t>1.62 s</t>
  </si>
  <si>
    <t>318.7 m2</t>
  </si>
  <si>
    <t>luca.storchi@studenti.unipr.it</t>
  </si>
  <si>
    <t>Storchi Luca</t>
  </si>
  <si>
    <t>1.94 s</t>
  </si>
  <si>
    <t>125.09 m2</t>
  </si>
  <si>
    <t>michele.gregorelli@studenti.unipr.it</t>
  </si>
  <si>
    <t>Gregorelli Michele</t>
  </si>
  <si>
    <t>1.714 s</t>
  </si>
  <si>
    <t>136.83 mq</t>
  </si>
  <si>
    <t>sonashivajirao.chavan@studenti.unipr.it</t>
  </si>
  <si>
    <t>Chavan sona shivaji rao</t>
  </si>
  <si>
    <t>1.71428s</t>
  </si>
  <si>
    <t>364.8842mq</t>
  </si>
  <si>
    <t>monashivajirao.chavan@studenti.unipr.it</t>
  </si>
  <si>
    <t>Chavan mona Shivaji rao</t>
  </si>
  <si>
    <t>1.81818 s</t>
  </si>
  <si>
    <t>S2= 254.15 mq</t>
  </si>
  <si>
    <t>luca.pettenati@studenti.unipr.it</t>
  </si>
  <si>
    <t>Pettenati Luca</t>
  </si>
  <si>
    <t>The time between the sound is emitted and the sound is received</t>
  </si>
  <si>
    <t>evana.mahfuth@studenti.unipr.it</t>
  </si>
  <si>
    <t>MAHFUTH EVANA</t>
  </si>
  <si>
    <t>The ratio between the initial modulation and the modulation of the received sound</t>
  </si>
  <si>
    <t>1.75 s</t>
  </si>
  <si>
    <t>2) What is the definition of  Modulation Transfer Function ?</t>
  </si>
  <si>
    <t>3) What is the definition of  center time ts?</t>
  </si>
  <si>
    <t>4) What is the definition of  Lateral Fraction LF?</t>
  </si>
  <si>
    <t>6) In a cubic room, with a side of 5+F/2 m and an average absorption coefficient α=0.1+D/100, the SPL is too large.</t>
  </si>
  <si>
    <t>(multiple answers)</t>
  </si>
  <si>
    <r>
      <t>¨</t>
    </r>
    <r>
      <rPr>
        <sz val="11"/>
        <rFont val="Times New Roman"/>
        <family val="1"/>
      </rPr>
      <t xml:space="preserve">  </t>
    </r>
    <r>
      <rPr>
        <sz val="11"/>
        <rFont val="Calibri"/>
        <family val="2"/>
      </rPr>
      <t>a + r + t = 1</t>
    </r>
  </si>
  <si>
    <r>
      <t>¨</t>
    </r>
    <r>
      <rPr>
        <sz val="11"/>
        <rFont val="Times New Roman"/>
        <family val="1"/>
      </rPr>
      <t xml:space="preserve">  </t>
    </r>
    <r>
      <rPr>
        <sz val="11"/>
        <rFont val="Calibri"/>
        <family val="2"/>
      </rPr>
      <t>α is always smaller than a</t>
    </r>
  </si>
  <si>
    <r>
      <t>¨</t>
    </r>
    <r>
      <rPr>
        <sz val="11"/>
        <rFont val="Times New Roman"/>
        <family val="1"/>
      </rPr>
      <t xml:space="preserve">  </t>
    </r>
    <r>
      <rPr>
        <sz val="11"/>
        <rFont val="Calibri"/>
        <family val="2"/>
      </rPr>
      <t>α = 1 - r = a + t</t>
    </r>
  </si>
  <si>
    <r>
      <t>¨</t>
    </r>
    <r>
      <rPr>
        <sz val="11"/>
        <rFont val="Times New Roman"/>
        <family val="1"/>
      </rPr>
      <t xml:space="preserve">  </t>
    </r>
    <r>
      <rPr>
        <sz val="11"/>
        <rFont val="Calibri"/>
        <family val="2"/>
      </rPr>
      <t>a = 1 - r = α + t</t>
    </r>
  </si>
  <si>
    <r>
      <t>¨</t>
    </r>
    <r>
      <rPr>
        <sz val="11"/>
        <rFont val="Times New Roman"/>
        <family val="1"/>
      </rPr>
      <t xml:space="preserve">  </t>
    </r>
    <r>
      <rPr>
        <sz val="11"/>
        <rFont val="Calibri"/>
        <family val="2"/>
      </rPr>
      <t>α can be larger than one, a is always smaller than 1</t>
    </r>
  </si>
  <si>
    <r>
      <t xml:space="preserve">1) What are the relations between </t>
    </r>
    <r>
      <rPr>
        <sz val="10"/>
        <rFont val="Calibri"/>
        <family val="2"/>
      </rPr>
      <t>α</t>
    </r>
    <r>
      <rPr>
        <b/>
        <sz val="11"/>
        <rFont val="Calibri"/>
        <family val="2"/>
      </rPr>
      <t>, a, r and t ?</t>
    </r>
  </si>
  <si>
    <t>A =</t>
  </si>
  <si>
    <t>B =</t>
  </si>
  <si>
    <t>C =</t>
  </si>
  <si>
    <t>D =</t>
  </si>
  <si>
    <t>E =</t>
  </si>
  <si>
    <t>F =</t>
  </si>
  <si>
    <t>m2</t>
  </si>
  <si>
    <t>N.</t>
  </si>
  <si>
    <t>A</t>
  </si>
  <si>
    <t>B</t>
  </si>
  <si>
    <t>C</t>
  </si>
  <si>
    <t>D</t>
  </si>
  <si>
    <t>E</t>
  </si>
  <si>
    <t>F</t>
  </si>
  <si>
    <t>Online bonus</t>
  </si>
  <si>
    <t>Colour markings:</t>
  </si>
  <si>
    <t>wrong or missing measurement unit (ERROR!)</t>
  </si>
  <si>
    <t>Note: 0 points if the number is still OK, -1 if the number is also wrong</t>
  </si>
  <si>
    <t>decimal comma instead of decimal dot (not error, this time)</t>
  </si>
  <si>
    <t>missing space between number and measurmenet unit (not error, this time)</t>
  </si>
  <si>
    <t>4) What is the definition of  Lateral Fraction LF</t>
  </si>
  <si>
    <t>Score</t>
  </si>
  <si>
    <t>OK value</t>
  </si>
  <si>
    <t>OK unit</t>
  </si>
  <si>
    <r>
      <t>m</t>
    </r>
    <r>
      <rPr>
        <sz val="10"/>
        <rFont val="Calibri"/>
        <family val="2"/>
      </rPr>
      <t>²</t>
    </r>
  </si>
  <si>
    <t>5) Compute the value of T20 in a room where the integrated Schroeder plot shows a linear decay with a slope of 30+F dB/s</t>
  </si>
  <si>
    <t>A1</t>
  </si>
  <si>
    <t>A2</t>
  </si>
  <si>
    <t>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</si>
</sst>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\ h:mm:ss"/>
    <numFmt numFmtId="165" formatCode="0.000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Wingdings"/>
      <charset val="2"/>
    </font>
    <font>
      <b/>
      <sz val="9.5"/>
      <name val="Arial"/>
      <family val="2"/>
    </font>
    <font>
      <b/>
      <sz val="10"/>
      <color rgb="FF00206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12"/>
      <color indexed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8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/>
    <xf numFmtId="0" fontId="0" fillId="2" borderId="0" xfId="0" applyFill="1"/>
    <xf numFmtId="0" fontId="5" fillId="0" borderId="0" xfId="0" applyFont="1" applyAlignment="1">
      <alignment vertical="center"/>
    </xf>
    <xf numFmtId="0" fontId="12" fillId="0" borderId="0" xfId="0" applyFont="1"/>
    <xf numFmtId="0" fontId="6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 indent="4"/>
    </xf>
    <xf numFmtId="0" fontId="2" fillId="0" borderId="3" xfId="0" applyFont="1" applyBorder="1"/>
    <xf numFmtId="2" fontId="2" fillId="0" borderId="3" xfId="0" applyNumberFormat="1" applyFont="1" applyBorder="1"/>
    <xf numFmtId="2" fontId="0" fillId="0" borderId="0" xfId="0" applyNumberFormat="1"/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 indent="4"/>
    </xf>
    <xf numFmtId="0" fontId="0" fillId="0" borderId="0" xfId="0" applyFont="1" applyAlignment="1"/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5" fontId="2" fillId="0" borderId="2" xfId="0" applyNumberFormat="1" applyFont="1" applyBorder="1"/>
    <xf numFmtId="165" fontId="0" fillId="0" borderId="0" xfId="0" applyNumberFormat="1"/>
    <xf numFmtId="0" fontId="16" fillId="0" borderId="0" xfId="0" applyFont="1"/>
    <xf numFmtId="0" fontId="0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8" fillId="5" borderId="0" xfId="0" applyFont="1" applyFill="1" applyAlignment="1">
      <alignment horizontal="left"/>
    </xf>
    <xf numFmtId="0" fontId="0" fillId="5" borderId="0" xfId="0" applyFont="1" applyFill="1" applyAlignment="1"/>
    <xf numFmtId="0" fontId="1" fillId="0" borderId="0" xfId="0" applyFont="1" applyFill="1" applyBorder="1" applyAlignment="1"/>
    <xf numFmtId="0" fontId="18" fillId="6" borderId="0" xfId="0" applyFont="1" applyFill="1" applyAlignment="1">
      <alignment horizontal="left"/>
    </xf>
    <xf numFmtId="0" fontId="0" fillId="6" borderId="0" xfId="0" applyFont="1" applyFill="1" applyAlignment="1"/>
    <xf numFmtId="0" fontId="18" fillId="7" borderId="0" xfId="0" applyFont="1" applyFill="1" applyAlignment="1">
      <alignment horizontal="left"/>
    </xf>
    <xf numFmtId="0" fontId="0" fillId="7" borderId="0" xfId="0" applyFont="1" applyFill="1" applyAlignment="1"/>
    <xf numFmtId="0" fontId="1" fillId="0" borderId="4" xfId="0" applyFont="1" applyBorder="1" applyAlignment="1"/>
    <xf numFmtId="165" fontId="19" fillId="0" borderId="4" xfId="0" applyNumberFormat="1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1" fillId="0" borderId="4" xfId="0" applyNumberFormat="1" applyFont="1" applyBorder="1" applyAlignment="1"/>
    <xf numFmtId="0" fontId="1" fillId="5" borderId="4" xfId="0" applyFont="1" applyFill="1" applyBorder="1" applyAlignment="1"/>
    <xf numFmtId="0" fontId="1" fillId="7" borderId="4" xfId="0" applyFont="1" applyFill="1" applyBorder="1" applyAlignment="1"/>
    <xf numFmtId="0" fontId="0" fillId="0" borderId="4" xfId="0" applyFont="1" applyBorder="1" applyAlignment="1"/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62"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ina/My%20Documents/Esami/08-04-2015/07%20-%20Esame%20di%20Fisica%20Tecnica%20del%209%20settembre%2019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ina/My%20Documents/Esami/08-04-2015/10%20-%20Esame%20di%20Fisica%20Tecnica%20del%203%20febbraio%20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ina/My%20Documents/Esami/08-04-2015/05%20-%20Esame%20di%20Fisica%20Tecnica%20del%201%20luglio%20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0"/>
      <sheetData sheetId="1">
        <row r="12">
          <cell r="B12">
            <v>23.4</v>
          </cell>
        </row>
        <row r="13">
          <cell r="B13">
            <v>15.6</v>
          </cell>
          <cell r="F13">
            <v>8.0898329548527367E-3</v>
          </cell>
        </row>
        <row r="15">
          <cell r="F15">
            <v>0.44580465023815147</v>
          </cell>
        </row>
      </sheetData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0"/>
      <sheetData sheetId="1">
        <row r="6">
          <cell r="E6">
            <v>45</v>
          </cell>
        </row>
      </sheetData>
      <sheetData sheetId="2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S22"/>
  <sheetViews>
    <sheetView tabSelected="1" workbookViewId="0">
      <selection activeCell="A2" sqref="A2"/>
    </sheetView>
  </sheetViews>
  <sheetFormatPr defaultRowHeight="12.75" x14ac:dyDescent="0.2"/>
  <cols>
    <col min="1" max="1" width="4.140625" customWidth="1"/>
    <col min="2" max="2" width="20.7109375" customWidth="1"/>
    <col min="3" max="3" width="34.7109375" customWidth="1"/>
    <col min="4" max="4" width="27" customWidth="1"/>
    <col min="6" max="11" width="2.85546875" customWidth="1"/>
    <col min="12" max="12" width="8.28515625" customWidth="1"/>
    <col min="13" max="13" width="11.7109375" customWidth="1"/>
    <col min="14" max="18" width="3.42578125" customWidth="1"/>
    <col min="19" max="19" width="17.140625" customWidth="1"/>
    <col min="20" max="20" width="7.42578125" customWidth="1"/>
    <col min="21" max="21" width="10.85546875" customWidth="1"/>
    <col min="22" max="22" width="7" customWidth="1"/>
    <col min="23" max="23" width="11.42578125" customWidth="1"/>
    <col min="24" max="24" width="6.7109375" customWidth="1"/>
    <col min="25" max="25" width="28.42578125" customWidth="1"/>
    <col min="26" max="26" width="6.85546875" customWidth="1"/>
    <col min="27" max="27" width="4.85546875" customWidth="1"/>
    <col min="28" max="28" width="7.42578125" customWidth="1"/>
    <col min="29" max="29" width="55.140625" customWidth="1"/>
    <col min="30" max="30" width="7.85546875" customWidth="1"/>
    <col min="31" max="31" width="5" customWidth="1"/>
    <col min="32" max="32" width="7.5703125" customWidth="1"/>
    <col min="33" max="33" width="24.42578125" customWidth="1"/>
    <col min="34" max="35" width="6.7109375" customWidth="1"/>
    <col min="36" max="36" width="16" customWidth="1"/>
    <col min="37" max="37" width="7.140625" customWidth="1"/>
    <col min="38" max="38" width="6.7109375" customWidth="1"/>
    <col min="39" max="39" width="22.42578125" customWidth="1"/>
    <col min="40" max="40" width="6" customWidth="1"/>
    <col min="41" max="41" width="6.42578125" customWidth="1"/>
    <col min="42" max="42" width="9.140625" style="43"/>
  </cols>
  <sheetData>
    <row r="1" spans="1:45" ht="67.5" customHeight="1" x14ac:dyDescent="0.2">
      <c r="A1" s="36" t="s">
        <v>131</v>
      </c>
      <c r="B1" s="36" t="s">
        <v>35</v>
      </c>
      <c r="C1" s="36" t="s">
        <v>36</v>
      </c>
      <c r="D1" s="36" t="s">
        <v>2</v>
      </c>
      <c r="E1" s="36" t="s">
        <v>37</v>
      </c>
      <c r="F1" s="36" t="s">
        <v>132</v>
      </c>
      <c r="G1" s="36" t="s">
        <v>133</v>
      </c>
      <c r="H1" s="36" t="s">
        <v>134</v>
      </c>
      <c r="I1" s="36" t="s">
        <v>135</v>
      </c>
      <c r="J1" s="36" t="s">
        <v>136</v>
      </c>
      <c r="K1" s="36" t="s">
        <v>137</v>
      </c>
      <c r="L1" s="37" t="s">
        <v>138</v>
      </c>
      <c r="M1" s="37" t="s">
        <v>38</v>
      </c>
      <c r="N1" s="37">
        <v>1</v>
      </c>
      <c r="O1" s="37">
        <v>-1</v>
      </c>
      <c r="P1" s="37">
        <v>1</v>
      </c>
      <c r="Q1" s="37">
        <v>-1</v>
      </c>
      <c r="R1" s="37">
        <v>-1</v>
      </c>
      <c r="S1" s="37" t="s">
        <v>39</v>
      </c>
      <c r="T1" s="37" t="s">
        <v>145</v>
      </c>
      <c r="U1" s="37" t="s">
        <v>40</v>
      </c>
      <c r="V1" s="37" t="s">
        <v>145</v>
      </c>
      <c r="W1" s="37" t="s">
        <v>144</v>
      </c>
      <c r="X1" s="37" t="s">
        <v>145</v>
      </c>
      <c r="Y1" s="37" t="s">
        <v>149</v>
      </c>
      <c r="Z1" s="37" t="s">
        <v>146</v>
      </c>
      <c r="AA1" s="37" t="s">
        <v>147</v>
      </c>
      <c r="AB1" s="37" t="s">
        <v>145</v>
      </c>
      <c r="AC1" s="37" t="s">
        <v>42</v>
      </c>
      <c r="AD1" s="37" t="s">
        <v>146</v>
      </c>
      <c r="AE1" s="37" t="s">
        <v>147</v>
      </c>
      <c r="AF1" s="37" t="s">
        <v>145</v>
      </c>
      <c r="AG1" s="37" t="s">
        <v>43</v>
      </c>
      <c r="AH1" s="37" t="s">
        <v>146</v>
      </c>
      <c r="AI1" s="37" t="s">
        <v>145</v>
      </c>
      <c r="AJ1" s="37" t="s">
        <v>44</v>
      </c>
      <c r="AK1" s="37" t="s">
        <v>146</v>
      </c>
      <c r="AL1" s="37" t="s">
        <v>145</v>
      </c>
      <c r="AM1" s="37" t="s">
        <v>45</v>
      </c>
      <c r="AN1" s="37" t="s">
        <v>146</v>
      </c>
      <c r="AO1" s="37" t="s">
        <v>145</v>
      </c>
      <c r="AP1" s="37" t="s">
        <v>152</v>
      </c>
      <c r="AR1" s="2" t="s">
        <v>150</v>
      </c>
      <c r="AS1" s="2" t="s">
        <v>151</v>
      </c>
    </row>
    <row r="2" spans="1:45" x14ac:dyDescent="0.2">
      <c r="A2" s="38">
        <v>1</v>
      </c>
      <c r="B2" s="39">
        <v>43427.720762048615</v>
      </c>
      <c r="C2" s="34" t="s">
        <v>46</v>
      </c>
      <c r="D2" s="34" t="s">
        <v>47</v>
      </c>
      <c r="E2" s="34">
        <v>288204</v>
      </c>
      <c r="F2" s="24">
        <f>INT(E2/100000)</f>
        <v>2</v>
      </c>
      <c r="G2" s="24">
        <f t="shared" ref="G2" si="0">INT(($E2-100000*F2)/10000)</f>
        <v>8</v>
      </c>
      <c r="H2" s="24">
        <f t="shared" ref="H2" si="1">INT(($E2-100000*F2-10000*G2)/1000)</f>
        <v>8</v>
      </c>
      <c r="I2" s="24">
        <f>INT(($E2-100000*$F2-10000*$G2-1000*$H2)/100)</f>
        <v>2</v>
      </c>
      <c r="J2" s="24">
        <f>INT(($E2-100000*$F2-10000*$G2-1000*$H2-100*$I2)/10)</f>
        <v>0</v>
      </c>
      <c r="K2" s="24">
        <f>INT(($E2-100000*$F2-10000*$G2-1000*$H2-100*$I2-10*$J2))</f>
        <v>4</v>
      </c>
      <c r="L2" s="25">
        <v>2</v>
      </c>
      <c r="M2" s="34" t="s">
        <v>48</v>
      </c>
      <c r="N2" s="25">
        <f>IF(ISERROR(FIND("a + r + t = 1",M2,1)),0,N$1)</f>
        <v>1</v>
      </c>
      <c r="O2" s="25">
        <f>IF(ISERROR(FIND("α is always smaller than a",M2,1)),0,O$1)</f>
        <v>0</v>
      </c>
      <c r="P2" s="25">
        <f>IF(ISERROR(FIND("α = 1 - r = a + t",M2,1)),0,P$1)</f>
        <v>1</v>
      </c>
      <c r="Q2" s="25">
        <f>IF(ISERROR(FIND("a = 1 - r = α + t",M2,1)),0,Q$1)</f>
        <v>0</v>
      </c>
      <c r="R2" s="25">
        <f>IF(ISERROR(FIND("α can be larger than one",M2,1)),0,R$1)</f>
        <v>0</v>
      </c>
      <c r="S2" s="34" t="s">
        <v>49</v>
      </c>
      <c r="T2" s="25">
        <v>1</v>
      </c>
      <c r="U2" s="34" t="s">
        <v>50</v>
      </c>
      <c r="V2" s="25">
        <v>1</v>
      </c>
      <c r="W2" s="34" t="s">
        <v>51</v>
      </c>
      <c r="X2" s="25">
        <v>1</v>
      </c>
      <c r="Y2" s="34" t="s">
        <v>52</v>
      </c>
      <c r="Z2" s="35">
        <f>60/(30+K2)</f>
        <v>1.7647058823529411</v>
      </c>
      <c r="AA2" s="34" t="s">
        <v>4</v>
      </c>
      <c r="AB2" s="25">
        <f>IF(Y2="",0,IF(EXACT(RIGHT(Y2,1),"s"),IF(ABS(VALUE(LEFT(Y2,FIND(" ",Y2,1)))-Z2)&lt;=0.5,1,-1),-1))</f>
        <v>1</v>
      </c>
      <c r="AC2" s="34" t="s">
        <v>53</v>
      </c>
      <c r="AD2" s="35">
        <f>(AS2-AR2)/(0.3+J2/30)</f>
        <v>254.28385283580147</v>
      </c>
      <c r="AE2" s="34" t="s">
        <v>148</v>
      </c>
      <c r="AF2" s="25">
        <f>IF(AC2="",0,IF(EXACT(RIGHT(AC2,2),"m2"),IF(ABS(VALUE(LEFT(AC2,FIND(" ",AC2,1)))-AD2)&lt;=0.5,1,-1),-1))</f>
        <v>1</v>
      </c>
      <c r="AG2" s="34">
        <v>0.33</v>
      </c>
      <c r="AH2" s="35">
        <f>(0.3+K2/30)-(0.1)</f>
        <v>0.33333333333333337</v>
      </c>
      <c r="AI2" s="25">
        <f>IF(AG2="",0,IF((AG2-AH2)&lt;=0.1,1,-1))</f>
        <v>1</v>
      </c>
      <c r="AJ2" s="34">
        <v>0.56999999999999995</v>
      </c>
      <c r="AK2" s="35">
        <f>1-(0.3+K2/30)</f>
        <v>0.56666666666666665</v>
      </c>
      <c r="AL2" s="25">
        <f>IF(AJ2="",0,IF((AJ2-AK2)&lt;=0.1,1,-1))</f>
        <v>1</v>
      </c>
      <c r="AM2" s="34">
        <v>0.9</v>
      </c>
      <c r="AN2" s="35">
        <f>1-10^(-(10+J2)/10)</f>
        <v>0.9</v>
      </c>
      <c r="AO2" s="25">
        <f>IF(AM2="",0,IF((AM2-AN2)&lt;=0.1,1,-1))</f>
        <v>1</v>
      </c>
      <c r="AP2" s="44">
        <f>L2+SUM(N2:R2)+T2+V2+X2+AB2+AF2+AI2+AL2+AO2</f>
        <v>12</v>
      </c>
      <c r="AR2">
        <f>6*(5+K2/2)^2*(0.1+I2/100)</f>
        <v>35.28</v>
      </c>
      <c r="AS2">
        <f>AR2*10^(5/10)</f>
        <v>111.56515585074044</v>
      </c>
    </row>
    <row r="3" spans="1:45" x14ac:dyDescent="0.2">
      <c r="A3" s="38">
        <v>2</v>
      </c>
      <c r="B3" s="39">
        <v>43427.721150520832</v>
      </c>
      <c r="C3" s="34" t="s">
        <v>54</v>
      </c>
      <c r="D3" s="34" t="s">
        <v>55</v>
      </c>
      <c r="E3" s="34">
        <v>281356</v>
      </c>
      <c r="F3" s="24">
        <f t="shared" ref="F3:F17" si="2">INT(E3/100000)</f>
        <v>2</v>
      </c>
      <c r="G3" s="24">
        <f t="shared" ref="G3:G17" si="3">INT(($E3-100000*F3)/10000)</f>
        <v>8</v>
      </c>
      <c r="H3" s="24">
        <f t="shared" ref="H3:H17" si="4">INT(($E3-100000*F3-10000*G3)/1000)</f>
        <v>1</v>
      </c>
      <c r="I3" s="24">
        <f t="shared" ref="I3:I17" si="5">INT(($E3-100000*$F3-10000*$G3-1000*$H3)/100)</f>
        <v>3</v>
      </c>
      <c r="J3" s="24">
        <f t="shared" ref="J3:J17" si="6">INT(($E3-100000*$F3-10000*$G3-1000*$H3-100*$I3)/10)</f>
        <v>5</v>
      </c>
      <c r="K3" s="24">
        <f t="shared" ref="K3:K17" si="7">INT(($E3-100000*$F3-10000*$G3-1000*$H3-100*$I3-10*$J3))</f>
        <v>6</v>
      </c>
      <c r="L3" s="25">
        <v>2</v>
      </c>
      <c r="M3" s="34" t="s">
        <v>48</v>
      </c>
      <c r="N3" s="25">
        <f t="shared" ref="N3:N17" si="8">IF(ISERROR(FIND("a + r + t = 1",M3,1)),0,N$1)</f>
        <v>1</v>
      </c>
      <c r="O3" s="25">
        <f t="shared" ref="O3:O17" si="9">IF(ISERROR(FIND("α is always smaller than a",M3,1)),0,O$1)</f>
        <v>0</v>
      </c>
      <c r="P3" s="25">
        <f t="shared" ref="P3:P17" si="10">IF(ISERROR(FIND("α = 1 - r = a + t",M3,1)),0,P$1)</f>
        <v>1</v>
      </c>
      <c r="Q3" s="25">
        <f t="shared" ref="Q3:Q17" si="11">IF(ISERROR(FIND("a = 1 - r = α + t",M3,1)),0,Q$1)</f>
        <v>0</v>
      </c>
      <c r="R3" s="25">
        <f t="shared" ref="R3:R17" si="12">IF(ISERROR(FIND("α can be larger than one",M3,1)),0,R$1)</f>
        <v>0</v>
      </c>
      <c r="S3" s="34" t="s">
        <v>49</v>
      </c>
      <c r="T3" s="25">
        <v>1</v>
      </c>
      <c r="U3" s="34" t="s">
        <v>50</v>
      </c>
      <c r="V3" s="25">
        <v>1</v>
      </c>
      <c r="W3" s="34" t="s">
        <v>51</v>
      </c>
      <c r="X3" s="25">
        <v>1</v>
      </c>
      <c r="Y3" s="34" t="s">
        <v>56</v>
      </c>
      <c r="Z3" s="35">
        <f t="shared" ref="Z3:Z17" si="13">60/(30+K3)</f>
        <v>1.6666666666666667</v>
      </c>
      <c r="AA3" s="34" t="s">
        <v>4</v>
      </c>
      <c r="AB3" s="25">
        <f t="shared" ref="AB3:AB17" si="14">IF(Y3="",0,IF(EXACT(RIGHT(Y3,1),"s"),IF(ABS(VALUE(LEFT(Y3,FIND(" ",Y3,1)))-Z3)&lt;=0.5,1,-1),-1))</f>
        <v>1</v>
      </c>
      <c r="AC3" s="40" t="s">
        <v>57</v>
      </c>
      <c r="AD3" s="35">
        <f>(AS3-AR3)/(0.3+J3/30)</f>
        <v>231.30193027629753</v>
      </c>
      <c r="AE3" s="34" t="s">
        <v>148</v>
      </c>
      <c r="AF3" s="25">
        <v>0</v>
      </c>
      <c r="AG3" s="34">
        <v>0.4</v>
      </c>
      <c r="AH3" s="35">
        <f t="shared" ref="AH3:AH17" si="15">(0.3+K3/30)-(0.1)</f>
        <v>0.4</v>
      </c>
      <c r="AI3" s="25">
        <f t="shared" ref="AI3:AI17" si="16">IF(AG3="",0,IF((AG3-AH3)&lt;=0.1,1,-1))</f>
        <v>1</v>
      </c>
      <c r="AJ3" s="34">
        <v>0.5</v>
      </c>
      <c r="AK3" s="35">
        <f t="shared" ref="AK3:AK17" si="17">1-(0.3+K3/30)</f>
        <v>0.5</v>
      </c>
      <c r="AL3" s="25">
        <f t="shared" ref="AL3:AL17" si="18">IF(AJ3="",0,IF((AJ3-AK3)&lt;=0.1,1,-1))</f>
        <v>1</v>
      </c>
      <c r="AM3" s="34">
        <v>0.97</v>
      </c>
      <c r="AN3" s="35">
        <f t="shared" ref="AN3:AN17" si="19">1-10^(-(10+J3)/10)</f>
        <v>0.96837722339831622</v>
      </c>
      <c r="AO3" s="25">
        <f t="shared" ref="AO3:AO17" si="20">IF(AM3="",0,IF((AM3-AN3)&lt;=0.1,1,-1))</f>
        <v>1</v>
      </c>
      <c r="AP3" s="44">
        <f>L3+SUM(N3:R3)+T3+V3+X3+AB3+AF3+AI3+AL3+AO3</f>
        <v>11</v>
      </c>
      <c r="AR3">
        <f>6*(5+K3/2)^2*(0.1+I3/100)</f>
        <v>49.92</v>
      </c>
      <c r="AS3">
        <f t="shared" ref="AS3:AS17" si="21">AR3*10^(5/10)</f>
        <v>157.86090079560552</v>
      </c>
    </row>
    <row r="4" spans="1:45" x14ac:dyDescent="0.2">
      <c r="A4" s="38">
        <v>3</v>
      </c>
      <c r="B4" s="39">
        <v>43427.722538043978</v>
      </c>
      <c r="C4" s="34" t="s">
        <v>58</v>
      </c>
      <c r="D4" s="34" t="s">
        <v>59</v>
      </c>
      <c r="E4" s="34">
        <v>288169</v>
      </c>
      <c r="F4" s="24">
        <f t="shared" si="2"/>
        <v>2</v>
      </c>
      <c r="G4" s="24">
        <f t="shared" si="3"/>
        <v>8</v>
      </c>
      <c r="H4" s="24">
        <f t="shared" si="4"/>
        <v>8</v>
      </c>
      <c r="I4" s="24">
        <f t="shared" si="5"/>
        <v>1</v>
      </c>
      <c r="J4" s="24">
        <f t="shared" si="6"/>
        <v>6</v>
      </c>
      <c r="K4" s="24">
        <f t="shared" si="7"/>
        <v>9</v>
      </c>
      <c r="L4" s="25">
        <v>2</v>
      </c>
      <c r="M4" s="34" t="s">
        <v>48</v>
      </c>
      <c r="N4" s="25">
        <f t="shared" si="8"/>
        <v>1</v>
      </c>
      <c r="O4" s="25">
        <f t="shared" si="9"/>
        <v>0</v>
      </c>
      <c r="P4" s="25">
        <f t="shared" si="10"/>
        <v>1</v>
      </c>
      <c r="Q4" s="25">
        <f t="shared" si="11"/>
        <v>0</v>
      </c>
      <c r="R4" s="25">
        <f t="shared" si="12"/>
        <v>0</v>
      </c>
      <c r="S4" s="34" t="s">
        <v>49</v>
      </c>
      <c r="T4" s="25">
        <v>1</v>
      </c>
      <c r="U4" s="34" t="s">
        <v>50</v>
      </c>
      <c r="V4" s="25">
        <v>1</v>
      </c>
      <c r="W4" s="34" t="s">
        <v>51</v>
      </c>
      <c r="X4" s="25">
        <v>1</v>
      </c>
      <c r="Y4" s="34" t="s">
        <v>60</v>
      </c>
      <c r="Z4" s="35">
        <f t="shared" si="13"/>
        <v>1.5384615384615385</v>
      </c>
      <c r="AA4" s="34" t="s">
        <v>4</v>
      </c>
      <c r="AB4" s="25">
        <f t="shared" si="14"/>
        <v>1</v>
      </c>
      <c r="AC4" s="34" t="s">
        <v>61</v>
      </c>
      <c r="AD4" s="35">
        <f>(AS4-AR4)/(0.3+J4/30)</f>
        <v>257.59213765585906</v>
      </c>
      <c r="AE4" s="34" t="s">
        <v>148</v>
      </c>
      <c r="AF4" s="25">
        <f t="shared" ref="AF4:AF17" si="22">IF(AC4="",0,IF(EXACT(RIGHT(AC4,2),"m2"),IF(ABS(VALUE(LEFT(AC4,FIND(" ",AC4,1)))-AD4)&lt;=0.5,1,-1),-1))</f>
        <v>1</v>
      </c>
      <c r="AG4" s="34">
        <v>0.5</v>
      </c>
      <c r="AH4" s="35">
        <f t="shared" si="15"/>
        <v>0.5</v>
      </c>
      <c r="AI4" s="25">
        <f t="shared" si="16"/>
        <v>1</v>
      </c>
      <c r="AJ4" s="34">
        <v>0.4</v>
      </c>
      <c r="AK4" s="35">
        <f t="shared" si="17"/>
        <v>0.4</v>
      </c>
      <c r="AL4" s="25">
        <f t="shared" si="18"/>
        <v>1</v>
      </c>
      <c r="AM4" s="34">
        <v>0.97499999999999998</v>
      </c>
      <c r="AN4" s="35">
        <f t="shared" si="19"/>
        <v>0.9748811356849042</v>
      </c>
      <c r="AO4" s="25">
        <f t="shared" si="20"/>
        <v>1</v>
      </c>
      <c r="AP4" s="44">
        <f t="shared" ref="AP4:AP17" si="23">L4+SUM(N4:R4)+T4+V4+X4+AB4+AF4+AI4+AL4+AO4</f>
        <v>12</v>
      </c>
      <c r="AR4">
        <f>6*(5+K4/2)^2*(0.1+I4/100)</f>
        <v>59.564999999999998</v>
      </c>
      <c r="AS4">
        <f t="shared" si="21"/>
        <v>188.36106882792953</v>
      </c>
    </row>
    <row r="5" spans="1:45" x14ac:dyDescent="0.2">
      <c r="A5" s="38">
        <v>4</v>
      </c>
      <c r="B5" s="39">
        <v>43427.725041759259</v>
      </c>
      <c r="C5" s="34" t="s">
        <v>62</v>
      </c>
      <c r="D5" s="34" t="s">
        <v>63</v>
      </c>
      <c r="E5" s="34">
        <v>289673</v>
      </c>
      <c r="F5" s="24">
        <f t="shared" si="2"/>
        <v>2</v>
      </c>
      <c r="G5" s="24">
        <f t="shared" si="3"/>
        <v>8</v>
      </c>
      <c r="H5" s="24">
        <f t="shared" si="4"/>
        <v>9</v>
      </c>
      <c r="I5" s="24">
        <f t="shared" si="5"/>
        <v>6</v>
      </c>
      <c r="J5" s="24">
        <f t="shared" si="6"/>
        <v>7</v>
      </c>
      <c r="K5" s="24">
        <f t="shared" si="7"/>
        <v>3</v>
      </c>
      <c r="L5" s="25">
        <v>2</v>
      </c>
      <c r="M5" s="34" t="s">
        <v>48</v>
      </c>
      <c r="N5" s="25">
        <f t="shared" si="8"/>
        <v>1</v>
      </c>
      <c r="O5" s="25">
        <f t="shared" si="9"/>
        <v>0</v>
      </c>
      <c r="P5" s="25">
        <f t="shared" si="10"/>
        <v>1</v>
      </c>
      <c r="Q5" s="25">
        <f t="shared" si="11"/>
        <v>0</v>
      </c>
      <c r="R5" s="25">
        <f t="shared" si="12"/>
        <v>0</v>
      </c>
      <c r="S5" s="34" t="s">
        <v>49</v>
      </c>
      <c r="T5" s="25">
        <v>1</v>
      </c>
      <c r="U5" s="34" t="s">
        <v>50</v>
      </c>
      <c r="V5" s="25">
        <v>1</v>
      </c>
      <c r="W5" s="34" t="s">
        <v>51</v>
      </c>
      <c r="X5" s="25">
        <v>1</v>
      </c>
      <c r="Y5" s="34" t="s">
        <v>64</v>
      </c>
      <c r="Z5" s="35">
        <f t="shared" si="13"/>
        <v>1.8181818181818181</v>
      </c>
      <c r="AA5" s="34" t="s">
        <v>4</v>
      </c>
      <c r="AB5" s="25">
        <f t="shared" si="14"/>
        <v>1</v>
      </c>
      <c r="AC5" s="34" t="s">
        <v>65</v>
      </c>
      <c r="AD5" s="35">
        <f>(AS5-AR5)/(0.3+J5/30)</f>
        <v>164.44121605580528</v>
      </c>
      <c r="AE5" s="34" t="s">
        <v>148</v>
      </c>
      <c r="AF5" s="25">
        <v>1</v>
      </c>
      <c r="AG5" s="34">
        <v>0.3</v>
      </c>
      <c r="AH5" s="35">
        <f t="shared" si="15"/>
        <v>0.30000000000000004</v>
      </c>
      <c r="AI5" s="25">
        <f t="shared" si="16"/>
        <v>1</v>
      </c>
      <c r="AJ5" s="34">
        <v>0.6</v>
      </c>
      <c r="AK5" s="35">
        <f t="shared" si="17"/>
        <v>0.6</v>
      </c>
      <c r="AL5" s="25">
        <f t="shared" si="18"/>
        <v>1</v>
      </c>
      <c r="AM5" s="34">
        <v>0.98</v>
      </c>
      <c r="AN5" s="35">
        <f t="shared" si="19"/>
        <v>0.98004737685031118</v>
      </c>
      <c r="AO5" s="25">
        <f t="shared" si="20"/>
        <v>1</v>
      </c>
      <c r="AP5" s="44">
        <f t="shared" si="23"/>
        <v>12</v>
      </c>
      <c r="AR5">
        <f>6*(5+K5/2)^2*(0.1+I5/100)</f>
        <v>40.56</v>
      </c>
      <c r="AS5">
        <f t="shared" si="21"/>
        <v>128.26198189642949</v>
      </c>
    </row>
    <row r="6" spans="1:45" x14ac:dyDescent="0.2">
      <c r="A6" s="38">
        <v>5</v>
      </c>
      <c r="B6" s="39">
        <v>43427.725231620367</v>
      </c>
      <c r="C6" s="34" t="s">
        <v>66</v>
      </c>
      <c r="D6" s="34" t="s">
        <v>67</v>
      </c>
      <c r="E6" s="34">
        <v>288949</v>
      </c>
      <c r="F6" s="24">
        <f t="shared" si="2"/>
        <v>2</v>
      </c>
      <c r="G6" s="24">
        <f t="shared" si="3"/>
        <v>8</v>
      </c>
      <c r="H6" s="24">
        <f t="shared" si="4"/>
        <v>8</v>
      </c>
      <c r="I6" s="24">
        <f t="shared" si="5"/>
        <v>9</v>
      </c>
      <c r="J6" s="24">
        <f t="shared" si="6"/>
        <v>4</v>
      </c>
      <c r="K6" s="24">
        <f t="shared" si="7"/>
        <v>9</v>
      </c>
      <c r="L6" s="25">
        <v>2</v>
      </c>
      <c r="M6" s="34" t="s">
        <v>48</v>
      </c>
      <c r="N6" s="25">
        <f t="shared" si="8"/>
        <v>1</v>
      </c>
      <c r="O6" s="25">
        <f t="shared" si="9"/>
        <v>0</v>
      </c>
      <c r="P6" s="25">
        <f t="shared" si="10"/>
        <v>1</v>
      </c>
      <c r="Q6" s="25">
        <f t="shared" si="11"/>
        <v>0</v>
      </c>
      <c r="R6" s="25">
        <f t="shared" si="12"/>
        <v>0</v>
      </c>
      <c r="S6" s="34" t="s">
        <v>49</v>
      </c>
      <c r="T6" s="25">
        <v>1</v>
      </c>
      <c r="U6" s="34" t="s">
        <v>50</v>
      </c>
      <c r="V6" s="25">
        <v>1</v>
      </c>
      <c r="W6" s="34" t="s">
        <v>51</v>
      </c>
      <c r="X6" s="25">
        <v>1</v>
      </c>
      <c r="Y6" s="34" t="s">
        <v>68</v>
      </c>
      <c r="Z6" s="35">
        <f t="shared" si="13"/>
        <v>1.5384615384615385</v>
      </c>
      <c r="AA6" s="34" t="s">
        <v>4</v>
      </c>
      <c r="AB6" s="25">
        <f t="shared" si="14"/>
        <v>1</v>
      </c>
      <c r="AC6" s="40" t="s">
        <v>69</v>
      </c>
      <c r="AD6" s="35">
        <f>(AS6-AR6)/(0.3+J6/30)</f>
        <v>513.3829316917471</v>
      </c>
      <c r="AE6" s="34" t="s">
        <v>148</v>
      </c>
      <c r="AF6" s="25">
        <v>0</v>
      </c>
      <c r="AG6" s="34">
        <v>0.5</v>
      </c>
      <c r="AH6" s="35">
        <f t="shared" si="15"/>
        <v>0.5</v>
      </c>
      <c r="AI6" s="25">
        <f t="shared" si="16"/>
        <v>1</v>
      </c>
      <c r="AJ6" s="34">
        <v>0.4</v>
      </c>
      <c r="AK6" s="35">
        <f t="shared" si="17"/>
        <v>0.4</v>
      </c>
      <c r="AL6" s="25">
        <f t="shared" si="18"/>
        <v>1</v>
      </c>
      <c r="AM6" s="34">
        <v>0.96020000000000005</v>
      </c>
      <c r="AN6" s="35">
        <f t="shared" si="19"/>
        <v>0.96018928294465022</v>
      </c>
      <c r="AO6" s="25">
        <f t="shared" si="20"/>
        <v>1</v>
      </c>
      <c r="AP6" s="44">
        <f t="shared" si="23"/>
        <v>11</v>
      </c>
      <c r="AR6">
        <f>6*(5+K6/2)^2*(0.1+I6/100)</f>
        <v>102.88500000000001</v>
      </c>
      <c r="AS6">
        <f t="shared" si="21"/>
        <v>325.35093706642374</v>
      </c>
    </row>
    <row r="7" spans="1:45" x14ac:dyDescent="0.2">
      <c r="A7" s="38">
        <v>6</v>
      </c>
      <c r="B7" s="39">
        <v>43427.725455046297</v>
      </c>
      <c r="C7" s="34" t="s">
        <v>70</v>
      </c>
      <c r="D7" s="34" t="s">
        <v>71</v>
      </c>
      <c r="E7" s="34">
        <v>293072</v>
      </c>
      <c r="F7" s="24">
        <f t="shared" si="2"/>
        <v>2</v>
      </c>
      <c r="G7" s="24">
        <f t="shared" si="3"/>
        <v>9</v>
      </c>
      <c r="H7" s="24">
        <f t="shared" si="4"/>
        <v>3</v>
      </c>
      <c r="I7" s="24">
        <f t="shared" si="5"/>
        <v>0</v>
      </c>
      <c r="J7" s="24">
        <f t="shared" si="6"/>
        <v>7</v>
      </c>
      <c r="K7" s="24">
        <f t="shared" si="7"/>
        <v>2</v>
      </c>
      <c r="L7" s="25">
        <v>2</v>
      </c>
      <c r="M7" s="34" t="s">
        <v>48</v>
      </c>
      <c r="N7" s="25">
        <f t="shared" si="8"/>
        <v>1</v>
      </c>
      <c r="O7" s="25">
        <f t="shared" si="9"/>
        <v>0</v>
      </c>
      <c r="P7" s="25">
        <f t="shared" si="10"/>
        <v>1</v>
      </c>
      <c r="Q7" s="25">
        <f t="shared" si="11"/>
        <v>0</v>
      </c>
      <c r="R7" s="25">
        <f t="shared" si="12"/>
        <v>0</v>
      </c>
      <c r="S7" s="34" t="s">
        <v>49</v>
      </c>
      <c r="T7" s="25">
        <v>1</v>
      </c>
      <c r="U7" s="34" t="s">
        <v>50</v>
      </c>
      <c r="V7" s="25">
        <v>1</v>
      </c>
      <c r="W7" s="34" t="s">
        <v>51</v>
      </c>
      <c r="X7" s="25">
        <v>1</v>
      </c>
      <c r="Y7" s="34" t="s">
        <v>72</v>
      </c>
      <c r="Z7" s="35">
        <f t="shared" si="13"/>
        <v>1.875</v>
      </c>
      <c r="AA7" s="34" t="s">
        <v>4</v>
      </c>
      <c r="AB7" s="25">
        <f t="shared" si="14"/>
        <v>1</v>
      </c>
      <c r="AC7" s="34" t="s">
        <v>73</v>
      </c>
      <c r="AD7" s="35">
        <f>(AS7-AR7)/(0.3+J7/30)</f>
        <v>87.57224523681937</v>
      </c>
      <c r="AE7" s="34" t="s">
        <v>148</v>
      </c>
      <c r="AF7" s="25">
        <v>1</v>
      </c>
      <c r="AG7" s="34">
        <v>0.26700000000000002</v>
      </c>
      <c r="AH7" s="35">
        <f t="shared" si="15"/>
        <v>0.26666666666666661</v>
      </c>
      <c r="AI7" s="25">
        <f t="shared" si="16"/>
        <v>1</v>
      </c>
      <c r="AJ7" s="34">
        <v>0.63</v>
      </c>
      <c r="AK7" s="35">
        <f t="shared" si="17"/>
        <v>0.6333333333333333</v>
      </c>
      <c r="AL7" s="25">
        <f t="shared" si="18"/>
        <v>1</v>
      </c>
      <c r="AM7" s="34">
        <v>0.98</v>
      </c>
      <c r="AN7" s="35">
        <f t="shared" si="19"/>
        <v>0.98004737685031118</v>
      </c>
      <c r="AO7" s="25">
        <f t="shared" si="20"/>
        <v>1</v>
      </c>
      <c r="AP7" s="44">
        <f t="shared" si="23"/>
        <v>12</v>
      </c>
      <c r="AR7">
        <f>6*(5+K7/2)^2*(0.1+I7/100)</f>
        <v>21.6</v>
      </c>
      <c r="AS7">
        <f t="shared" si="21"/>
        <v>68.305197459637</v>
      </c>
    </row>
    <row r="8" spans="1:45" x14ac:dyDescent="0.2">
      <c r="A8" s="38">
        <v>7</v>
      </c>
      <c r="B8" s="39">
        <v>43427.725490752317</v>
      </c>
      <c r="C8" s="34" t="s">
        <v>74</v>
      </c>
      <c r="D8" s="34" t="s">
        <v>75</v>
      </c>
      <c r="E8" s="34">
        <v>289638</v>
      </c>
      <c r="F8" s="24">
        <f t="shared" si="2"/>
        <v>2</v>
      </c>
      <c r="G8" s="24">
        <f t="shared" si="3"/>
        <v>8</v>
      </c>
      <c r="H8" s="24">
        <f t="shared" si="4"/>
        <v>9</v>
      </c>
      <c r="I8" s="24">
        <f t="shared" si="5"/>
        <v>6</v>
      </c>
      <c r="J8" s="24">
        <f t="shared" si="6"/>
        <v>3</v>
      </c>
      <c r="K8" s="24">
        <f t="shared" si="7"/>
        <v>8</v>
      </c>
      <c r="L8" s="25">
        <v>2</v>
      </c>
      <c r="M8" s="34" t="s">
        <v>48</v>
      </c>
      <c r="N8" s="25">
        <f t="shared" si="8"/>
        <v>1</v>
      </c>
      <c r="O8" s="25">
        <f t="shared" si="9"/>
        <v>0</v>
      </c>
      <c r="P8" s="25">
        <f t="shared" si="10"/>
        <v>1</v>
      </c>
      <c r="Q8" s="25">
        <f t="shared" si="11"/>
        <v>0</v>
      </c>
      <c r="R8" s="25">
        <f t="shared" si="12"/>
        <v>0</v>
      </c>
      <c r="S8" s="34" t="s">
        <v>49</v>
      </c>
      <c r="T8" s="25">
        <v>1</v>
      </c>
      <c r="U8" s="34" t="s">
        <v>50</v>
      </c>
      <c r="V8" s="25">
        <v>1</v>
      </c>
      <c r="W8" s="34" t="s">
        <v>51</v>
      </c>
      <c r="X8" s="25">
        <v>1</v>
      </c>
      <c r="Y8" s="34" t="s">
        <v>76</v>
      </c>
      <c r="Z8" s="35">
        <f t="shared" si="13"/>
        <v>1.5789473684210527</v>
      </c>
      <c r="AA8" s="34" t="s">
        <v>4</v>
      </c>
      <c r="AB8" s="25">
        <f t="shared" si="14"/>
        <v>1</v>
      </c>
      <c r="AC8" s="34" t="s">
        <v>77</v>
      </c>
      <c r="AD8" s="35">
        <f>(AS8-AR8)/(0.3+J8/30)</f>
        <v>420.34677713673301</v>
      </c>
      <c r="AE8" s="34" t="s">
        <v>148</v>
      </c>
      <c r="AF8" s="25">
        <f t="shared" si="22"/>
        <v>1</v>
      </c>
      <c r="AG8" s="34">
        <v>0.4667</v>
      </c>
      <c r="AH8" s="35">
        <f t="shared" si="15"/>
        <v>0.46666666666666667</v>
      </c>
      <c r="AI8" s="25">
        <f t="shared" si="16"/>
        <v>1</v>
      </c>
      <c r="AJ8" s="34">
        <v>0.43330000000000002</v>
      </c>
      <c r="AK8" s="35">
        <f t="shared" si="17"/>
        <v>0.43333333333333335</v>
      </c>
      <c r="AL8" s="25">
        <f t="shared" si="18"/>
        <v>1</v>
      </c>
      <c r="AM8" s="34">
        <v>0.94979999999999998</v>
      </c>
      <c r="AN8" s="35">
        <f t="shared" si="19"/>
        <v>0.94988127663727284</v>
      </c>
      <c r="AO8" s="25">
        <f t="shared" si="20"/>
        <v>1</v>
      </c>
      <c r="AP8" s="44">
        <f t="shared" si="23"/>
        <v>12</v>
      </c>
      <c r="AR8">
        <f>6*(5+K8/2)^2*(0.1+I8/100)</f>
        <v>77.760000000000005</v>
      </c>
      <c r="AS8">
        <f t="shared" si="21"/>
        <v>245.89871085469321</v>
      </c>
    </row>
    <row r="9" spans="1:45" x14ac:dyDescent="0.2">
      <c r="A9" s="38">
        <v>8</v>
      </c>
      <c r="B9" s="39">
        <v>43427.725556446763</v>
      </c>
      <c r="C9" s="34" t="s">
        <v>78</v>
      </c>
      <c r="D9" s="34" t="s">
        <v>79</v>
      </c>
      <c r="E9" s="34">
        <v>298849</v>
      </c>
      <c r="F9" s="24">
        <f t="shared" si="2"/>
        <v>2</v>
      </c>
      <c r="G9" s="24">
        <f t="shared" si="3"/>
        <v>9</v>
      </c>
      <c r="H9" s="24">
        <f t="shared" si="4"/>
        <v>8</v>
      </c>
      <c r="I9" s="24">
        <f t="shared" si="5"/>
        <v>8</v>
      </c>
      <c r="J9" s="24">
        <f t="shared" si="6"/>
        <v>4</v>
      </c>
      <c r="K9" s="24">
        <f t="shared" si="7"/>
        <v>9</v>
      </c>
      <c r="L9" s="25">
        <v>2</v>
      </c>
      <c r="M9" s="34" t="s">
        <v>48</v>
      </c>
      <c r="N9" s="25">
        <f t="shared" si="8"/>
        <v>1</v>
      </c>
      <c r="O9" s="25">
        <f t="shared" si="9"/>
        <v>0</v>
      </c>
      <c r="P9" s="25">
        <f t="shared" si="10"/>
        <v>1</v>
      </c>
      <c r="Q9" s="25">
        <f t="shared" si="11"/>
        <v>0</v>
      </c>
      <c r="R9" s="25">
        <f t="shared" si="12"/>
        <v>0</v>
      </c>
      <c r="S9" s="34" t="s">
        <v>49</v>
      </c>
      <c r="T9" s="25">
        <v>1</v>
      </c>
      <c r="U9" s="34" t="s">
        <v>50</v>
      </c>
      <c r="V9" s="25">
        <v>1</v>
      </c>
      <c r="W9" s="34" t="s">
        <v>51</v>
      </c>
      <c r="X9" s="25">
        <v>1</v>
      </c>
      <c r="Y9" s="34" t="s">
        <v>80</v>
      </c>
      <c r="Z9" s="35">
        <f t="shared" si="13"/>
        <v>1.5384615384615385</v>
      </c>
      <c r="AA9" s="34" t="s">
        <v>4</v>
      </c>
      <c r="AB9" s="25">
        <f t="shared" si="14"/>
        <v>1</v>
      </c>
      <c r="AC9" s="34" t="s">
        <v>81</v>
      </c>
      <c r="AD9" s="35">
        <f>(AS9-AR9)/(0.3+J9/30)</f>
        <v>486.36277739218144</v>
      </c>
      <c r="AE9" s="34" t="s">
        <v>148</v>
      </c>
      <c r="AF9" s="25">
        <f t="shared" si="22"/>
        <v>1</v>
      </c>
      <c r="AG9" s="34">
        <v>0.5</v>
      </c>
      <c r="AH9" s="35">
        <f t="shared" si="15"/>
        <v>0.5</v>
      </c>
      <c r="AI9" s="25">
        <f t="shared" si="16"/>
        <v>1</v>
      </c>
      <c r="AJ9" s="34">
        <v>0.4</v>
      </c>
      <c r="AK9" s="35">
        <f t="shared" si="17"/>
        <v>0.4</v>
      </c>
      <c r="AL9" s="25">
        <f t="shared" si="18"/>
        <v>1</v>
      </c>
      <c r="AM9" s="34">
        <v>0.96</v>
      </c>
      <c r="AN9" s="35">
        <f t="shared" si="19"/>
        <v>0.96018928294465022</v>
      </c>
      <c r="AO9" s="25">
        <f t="shared" si="20"/>
        <v>1</v>
      </c>
      <c r="AP9" s="44">
        <f t="shared" si="23"/>
        <v>12</v>
      </c>
      <c r="AR9">
        <f>6*(5+K9/2)^2*(0.1+I9/100)</f>
        <v>97.47</v>
      </c>
      <c r="AS9">
        <f t="shared" si="21"/>
        <v>308.22720353661197</v>
      </c>
    </row>
    <row r="10" spans="1:45" x14ac:dyDescent="0.2">
      <c r="A10" s="38">
        <v>9</v>
      </c>
      <c r="B10" s="39">
        <v>43427.725697361107</v>
      </c>
      <c r="C10" s="34" t="s">
        <v>82</v>
      </c>
      <c r="D10" s="34" t="s">
        <v>83</v>
      </c>
      <c r="E10" s="34">
        <v>289671</v>
      </c>
      <c r="F10" s="24">
        <f t="shared" si="2"/>
        <v>2</v>
      </c>
      <c r="G10" s="24">
        <f t="shared" si="3"/>
        <v>8</v>
      </c>
      <c r="H10" s="24">
        <f t="shared" si="4"/>
        <v>9</v>
      </c>
      <c r="I10" s="24">
        <f t="shared" si="5"/>
        <v>6</v>
      </c>
      <c r="J10" s="24">
        <f t="shared" si="6"/>
        <v>7</v>
      </c>
      <c r="K10" s="24">
        <f t="shared" si="7"/>
        <v>1</v>
      </c>
      <c r="L10" s="25">
        <v>2</v>
      </c>
      <c r="M10" s="34" t="s">
        <v>48</v>
      </c>
      <c r="N10" s="25">
        <f t="shared" si="8"/>
        <v>1</v>
      </c>
      <c r="O10" s="25">
        <f t="shared" si="9"/>
        <v>0</v>
      </c>
      <c r="P10" s="25">
        <f t="shared" si="10"/>
        <v>1</v>
      </c>
      <c r="Q10" s="25">
        <f t="shared" si="11"/>
        <v>0</v>
      </c>
      <c r="R10" s="25">
        <f t="shared" si="12"/>
        <v>0</v>
      </c>
      <c r="S10" s="34" t="s">
        <v>49</v>
      </c>
      <c r="T10" s="25">
        <v>1</v>
      </c>
      <c r="U10" s="34" t="s">
        <v>50</v>
      </c>
      <c r="V10" s="25">
        <v>1</v>
      </c>
      <c r="W10" s="34" t="s">
        <v>51</v>
      </c>
      <c r="X10" s="25">
        <v>1</v>
      </c>
      <c r="Y10" s="34" t="s">
        <v>84</v>
      </c>
      <c r="Z10" s="35">
        <f t="shared" si="13"/>
        <v>1.935483870967742</v>
      </c>
      <c r="AA10" s="34" t="s">
        <v>4</v>
      </c>
      <c r="AB10" s="25">
        <f t="shared" si="14"/>
        <v>1</v>
      </c>
      <c r="AC10" s="34" t="s">
        <v>85</v>
      </c>
      <c r="AD10" s="35">
        <f>(AS10-AR10)/(0.3+J10/30)</f>
        <v>117.73601859616825</v>
      </c>
      <c r="AE10" s="34" t="s">
        <v>148</v>
      </c>
      <c r="AF10" s="25">
        <f t="shared" si="22"/>
        <v>1</v>
      </c>
      <c r="AG10" s="34">
        <v>0.23330000000000001</v>
      </c>
      <c r="AH10" s="35">
        <f t="shared" si="15"/>
        <v>0.23333333333333331</v>
      </c>
      <c r="AI10" s="25">
        <f t="shared" si="16"/>
        <v>1</v>
      </c>
      <c r="AJ10" s="34">
        <v>0.66669999999999996</v>
      </c>
      <c r="AK10" s="35">
        <f t="shared" si="17"/>
        <v>0.66666666666666674</v>
      </c>
      <c r="AL10" s="25">
        <f t="shared" si="18"/>
        <v>1</v>
      </c>
      <c r="AM10" s="34">
        <v>0.98</v>
      </c>
      <c r="AN10" s="35">
        <f t="shared" si="19"/>
        <v>0.98004737685031118</v>
      </c>
      <c r="AO10" s="25">
        <f t="shared" si="20"/>
        <v>1</v>
      </c>
      <c r="AP10" s="44">
        <f t="shared" si="23"/>
        <v>12</v>
      </c>
      <c r="AR10">
        <f>6*(5+K10/2)^2*(0.1+I10/100)</f>
        <v>29.04</v>
      </c>
      <c r="AS10">
        <f t="shared" si="21"/>
        <v>91.832543251289735</v>
      </c>
    </row>
    <row r="11" spans="1:45" x14ac:dyDescent="0.2">
      <c r="A11" s="38">
        <v>10</v>
      </c>
      <c r="B11" s="39">
        <v>43427.728079641209</v>
      </c>
      <c r="C11" s="34" t="s">
        <v>86</v>
      </c>
      <c r="D11" s="34" t="s">
        <v>87</v>
      </c>
      <c r="E11" s="34">
        <v>288767</v>
      </c>
      <c r="F11" s="24">
        <f t="shared" si="2"/>
        <v>2</v>
      </c>
      <c r="G11" s="24">
        <f t="shared" si="3"/>
        <v>8</v>
      </c>
      <c r="H11" s="24">
        <f t="shared" si="4"/>
        <v>8</v>
      </c>
      <c r="I11" s="24">
        <f t="shared" si="5"/>
        <v>7</v>
      </c>
      <c r="J11" s="24">
        <f t="shared" si="6"/>
        <v>6</v>
      </c>
      <c r="K11" s="24">
        <f t="shared" si="7"/>
        <v>7</v>
      </c>
      <c r="L11" s="25">
        <v>2</v>
      </c>
      <c r="M11" s="34" t="s">
        <v>48</v>
      </c>
      <c r="N11" s="25">
        <f t="shared" si="8"/>
        <v>1</v>
      </c>
      <c r="O11" s="25">
        <f t="shared" si="9"/>
        <v>0</v>
      </c>
      <c r="P11" s="25">
        <f t="shared" si="10"/>
        <v>1</v>
      </c>
      <c r="Q11" s="25">
        <f t="shared" si="11"/>
        <v>0</v>
      </c>
      <c r="R11" s="25">
        <f t="shared" si="12"/>
        <v>0</v>
      </c>
      <c r="S11" s="34" t="s">
        <v>49</v>
      </c>
      <c r="T11" s="25">
        <v>1</v>
      </c>
      <c r="U11" s="34" t="s">
        <v>50</v>
      </c>
      <c r="V11" s="25">
        <v>1</v>
      </c>
      <c r="W11" s="34" t="s">
        <v>51</v>
      </c>
      <c r="X11" s="25">
        <v>1</v>
      </c>
      <c r="Y11" s="34" t="s">
        <v>88</v>
      </c>
      <c r="Z11" s="35">
        <f t="shared" si="13"/>
        <v>1.6216216216216217</v>
      </c>
      <c r="AA11" s="34" t="s">
        <v>4</v>
      </c>
      <c r="AB11" s="25">
        <f t="shared" si="14"/>
        <v>1</v>
      </c>
      <c r="AC11" s="34" t="s">
        <v>89</v>
      </c>
      <c r="AD11" s="35">
        <f>(AS11-AR11)/(0.3+J11/30)</f>
        <v>318.69810433221744</v>
      </c>
      <c r="AE11" s="34" t="s">
        <v>148</v>
      </c>
      <c r="AF11" s="25">
        <f t="shared" si="22"/>
        <v>1</v>
      </c>
      <c r="AG11" s="34">
        <v>0.43</v>
      </c>
      <c r="AH11" s="35">
        <f t="shared" si="15"/>
        <v>0.43333333333333335</v>
      </c>
      <c r="AI11" s="25">
        <f t="shared" si="16"/>
        <v>1</v>
      </c>
      <c r="AJ11" s="34">
        <v>0.46</v>
      </c>
      <c r="AK11" s="35">
        <f t="shared" si="17"/>
        <v>0.46666666666666667</v>
      </c>
      <c r="AL11" s="25">
        <f t="shared" si="18"/>
        <v>1</v>
      </c>
      <c r="AM11" s="34">
        <v>0.97</v>
      </c>
      <c r="AN11" s="35">
        <f t="shared" si="19"/>
        <v>0.9748811356849042</v>
      </c>
      <c r="AO11" s="25">
        <f t="shared" si="20"/>
        <v>1</v>
      </c>
      <c r="AP11" s="44">
        <f t="shared" si="23"/>
        <v>12</v>
      </c>
      <c r="AR11">
        <f>6*(5+K11/2)^2*(0.1+I11/100)</f>
        <v>73.695000000000007</v>
      </c>
      <c r="AS11">
        <f t="shared" si="21"/>
        <v>233.04405216610874</v>
      </c>
    </row>
    <row r="12" spans="1:45" x14ac:dyDescent="0.2">
      <c r="A12" s="38">
        <v>11</v>
      </c>
      <c r="B12" s="39">
        <v>43427.728080775458</v>
      </c>
      <c r="C12" s="34" t="s">
        <v>90</v>
      </c>
      <c r="D12" s="34" t="s">
        <v>91</v>
      </c>
      <c r="E12" s="34">
        <v>288771</v>
      </c>
      <c r="F12" s="24">
        <f t="shared" si="2"/>
        <v>2</v>
      </c>
      <c r="G12" s="24">
        <f t="shared" si="3"/>
        <v>8</v>
      </c>
      <c r="H12" s="24">
        <f t="shared" si="4"/>
        <v>8</v>
      </c>
      <c r="I12" s="24">
        <f t="shared" si="5"/>
        <v>7</v>
      </c>
      <c r="J12" s="24">
        <f t="shared" si="6"/>
        <v>7</v>
      </c>
      <c r="K12" s="24">
        <f t="shared" si="7"/>
        <v>1</v>
      </c>
      <c r="L12" s="25">
        <v>2</v>
      </c>
      <c r="M12" s="34" t="s">
        <v>48</v>
      </c>
      <c r="N12" s="25">
        <f t="shared" si="8"/>
        <v>1</v>
      </c>
      <c r="O12" s="25">
        <f t="shared" si="9"/>
        <v>0</v>
      </c>
      <c r="P12" s="25">
        <f t="shared" si="10"/>
        <v>1</v>
      </c>
      <c r="Q12" s="25">
        <f t="shared" si="11"/>
        <v>0</v>
      </c>
      <c r="R12" s="25">
        <f t="shared" si="12"/>
        <v>0</v>
      </c>
      <c r="S12" s="34" t="s">
        <v>49</v>
      </c>
      <c r="T12" s="25">
        <v>1</v>
      </c>
      <c r="U12" s="34" t="s">
        <v>50</v>
      </c>
      <c r="V12" s="25">
        <v>1</v>
      </c>
      <c r="W12" s="34" t="s">
        <v>51</v>
      </c>
      <c r="X12" s="25">
        <v>1</v>
      </c>
      <c r="Y12" s="34" t="s">
        <v>92</v>
      </c>
      <c r="Z12" s="35">
        <f t="shared" si="13"/>
        <v>1.935483870967742</v>
      </c>
      <c r="AA12" s="34" t="s">
        <v>4</v>
      </c>
      <c r="AB12" s="25">
        <f t="shared" si="14"/>
        <v>1</v>
      </c>
      <c r="AC12" s="34" t="s">
        <v>93</v>
      </c>
      <c r="AD12" s="35">
        <f>(AS12-AR12)/(0.3+J12/30)</f>
        <v>125.09451975842879</v>
      </c>
      <c r="AE12" s="34" t="s">
        <v>148</v>
      </c>
      <c r="AF12" s="25">
        <f t="shared" si="22"/>
        <v>1</v>
      </c>
      <c r="AG12" s="34">
        <v>0.23300000000000001</v>
      </c>
      <c r="AH12" s="35">
        <f t="shared" si="15"/>
        <v>0.23333333333333331</v>
      </c>
      <c r="AI12" s="25">
        <f t="shared" si="16"/>
        <v>1</v>
      </c>
      <c r="AJ12" s="34">
        <v>0.66700000000000004</v>
      </c>
      <c r="AK12" s="35">
        <f t="shared" si="17"/>
        <v>0.66666666666666674</v>
      </c>
      <c r="AL12" s="25">
        <f t="shared" si="18"/>
        <v>1</v>
      </c>
      <c r="AM12" s="34">
        <v>0.98</v>
      </c>
      <c r="AN12" s="35">
        <f t="shared" si="19"/>
        <v>0.98004737685031118</v>
      </c>
      <c r="AO12" s="25">
        <f t="shared" si="20"/>
        <v>1</v>
      </c>
      <c r="AP12" s="44">
        <f t="shared" si="23"/>
        <v>12</v>
      </c>
      <c r="AR12">
        <f>6*(5+K12/2)^2*(0.1+I12/100)</f>
        <v>30.855000000000004</v>
      </c>
      <c r="AS12">
        <f t="shared" si="21"/>
        <v>97.572077204495358</v>
      </c>
    </row>
    <row r="13" spans="1:45" x14ac:dyDescent="0.2">
      <c r="A13" s="38">
        <v>12</v>
      </c>
      <c r="B13" s="39">
        <v>43427.728091446756</v>
      </c>
      <c r="C13" s="34" t="s">
        <v>94</v>
      </c>
      <c r="D13" s="34" t="s">
        <v>95</v>
      </c>
      <c r="E13" s="34">
        <v>293075</v>
      </c>
      <c r="F13" s="24">
        <f t="shared" si="2"/>
        <v>2</v>
      </c>
      <c r="G13" s="24">
        <f t="shared" si="3"/>
        <v>9</v>
      </c>
      <c r="H13" s="24">
        <f t="shared" si="4"/>
        <v>3</v>
      </c>
      <c r="I13" s="24">
        <f t="shared" si="5"/>
        <v>0</v>
      </c>
      <c r="J13" s="24">
        <f t="shared" si="6"/>
        <v>7</v>
      </c>
      <c r="K13" s="24">
        <f t="shared" si="7"/>
        <v>5</v>
      </c>
      <c r="L13" s="25">
        <v>2</v>
      </c>
      <c r="M13" s="34" t="s">
        <v>48</v>
      </c>
      <c r="N13" s="25">
        <f t="shared" si="8"/>
        <v>1</v>
      </c>
      <c r="O13" s="25">
        <f t="shared" si="9"/>
        <v>0</v>
      </c>
      <c r="P13" s="25">
        <f t="shared" si="10"/>
        <v>1</v>
      </c>
      <c r="Q13" s="25">
        <f t="shared" si="11"/>
        <v>0</v>
      </c>
      <c r="R13" s="25">
        <f t="shared" si="12"/>
        <v>0</v>
      </c>
      <c r="S13" s="34" t="s">
        <v>49</v>
      </c>
      <c r="T13" s="25">
        <v>1</v>
      </c>
      <c r="U13" s="34" t="s">
        <v>50</v>
      </c>
      <c r="V13" s="25">
        <v>1</v>
      </c>
      <c r="W13" s="34" t="s">
        <v>51</v>
      </c>
      <c r="X13" s="25">
        <v>1</v>
      </c>
      <c r="Y13" s="34" t="s">
        <v>96</v>
      </c>
      <c r="Z13" s="35">
        <f t="shared" si="13"/>
        <v>1.7142857142857142</v>
      </c>
      <c r="AA13" s="34" t="s">
        <v>4</v>
      </c>
      <c r="AB13" s="25">
        <f t="shared" si="14"/>
        <v>1</v>
      </c>
      <c r="AC13" s="40" t="s">
        <v>97</v>
      </c>
      <c r="AD13" s="35">
        <f>(AS13-AR13)/(0.3+J13/30)</f>
        <v>136.83163318253028</v>
      </c>
      <c r="AE13" s="34" t="s">
        <v>148</v>
      </c>
      <c r="AF13" s="25">
        <v>0</v>
      </c>
      <c r="AG13" s="34">
        <v>0.36</v>
      </c>
      <c r="AH13" s="35">
        <f t="shared" si="15"/>
        <v>0.3666666666666667</v>
      </c>
      <c r="AI13" s="25">
        <f t="shared" si="16"/>
        <v>1</v>
      </c>
      <c r="AJ13" s="34">
        <v>0.53</v>
      </c>
      <c r="AK13" s="35">
        <f t="shared" si="17"/>
        <v>0.53333333333333333</v>
      </c>
      <c r="AL13" s="25">
        <f t="shared" si="18"/>
        <v>1</v>
      </c>
      <c r="AM13" s="34">
        <v>0.98</v>
      </c>
      <c r="AN13" s="35">
        <f t="shared" si="19"/>
        <v>0.98004737685031118</v>
      </c>
      <c r="AO13" s="25">
        <f t="shared" si="20"/>
        <v>1</v>
      </c>
      <c r="AP13" s="44">
        <f t="shared" si="23"/>
        <v>11</v>
      </c>
      <c r="AR13">
        <f>6*(5+K13/2)^2*(0.1+I13/100)</f>
        <v>33.75</v>
      </c>
      <c r="AS13">
        <f t="shared" si="21"/>
        <v>106.72687103068282</v>
      </c>
    </row>
    <row r="14" spans="1:45" x14ac:dyDescent="0.2">
      <c r="A14" s="38">
        <v>13</v>
      </c>
      <c r="B14" s="39">
        <v>43427.728334733794</v>
      </c>
      <c r="C14" s="34" t="s">
        <v>98</v>
      </c>
      <c r="D14" s="34" t="s">
        <v>99</v>
      </c>
      <c r="E14" s="34">
        <v>288985</v>
      </c>
      <c r="F14" s="24">
        <f t="shared" si="2"/>
        <v>2</v>
      </c>
      <c r="G14" s="24">
        <f t="shared" si="3"/>
        <v>8</v>
      </c>
      <c r="H14" s="24">
        <f t="shared" si="4"/>
        <v>8</v>
      </c>
      <c r="I14" s="24">
        <f t="shared" si="5"/>
        <v>9</v>
      </c>
      <c r="J14" s="24">
        <f t="shared" si="6"/>
        <v>8</v>
      </c>
      <c r="K14" s="24">
        <f t="shared" si="7"/>
        <v>5</v>
      </c>
      <c r="L14" s="25">
        <v>2</v>
      </c>
      <c r="M14" s="34" t="s">
        <v>48</v>
      </c>
      <c r="N14" s="25">
        <f t="shared" si="8"/>
        <v>1</v>
      </c>
      <c r="O14" s="25">
        <f t="shared" si="9"/>
        <v>0</v>
      </c>
      <c r="P14" s="25">
        <f t="shared" si="10"/>
        <v>1</v>
      </c>
      <c r="Q14" s="25">
        <f t="shared" si="11"/>
        <v>0</v>
      </c>
      <c r="R14" s="25">
        <f t="shared" si="12"/>
        <v>0</v>
      </c>
      <c r="S14" s="34" t="s">
        <v>49</v>
      </c>
      <c r="T14" s="25">
        <v>1</v>
      </c>
      <c r="U14" s="34" t="s">
        <v>50</v>
      </c>
      <c r="V14" s="25">
        <v>1</v>
      </c>
      <c r="W14" s="34" t="s">
        <v>51</v>
      </c>
      <c r="X14" s="25">
        <v>1</v>
      </c>
      <c r="Y14" s="41" t="s">
        <v>100</v>
      </c>
      <c r="Z14" s="35">
        <f t="shared" si="13"/>
        <v>1.7142857142857142</v>
      </c>
      <c r="AA14" s="34" t="s">
        <v>4</v>
      </c>
      <c r="AB14" s="25">
        <v>1</v>
      </c>
      <c r="AC14" s="40" t="s">
        <v>101</v>
      </c>
      <c r="AD14" s="35">
        <f>(AS14-AR14)/(0.3+J14/30)</f>
        <v>244.68715580876002</v>
      </c>
      <c r="AE14" s="34" t="s">
        <v>148</v>
      </c>
      <c r="AF14" s="25">
        <f t="shared" si="22"/>
        <v>-1</v>
      </c>
      <c r="AG14" s="34">
        <v>0.36665999999999999</v>
      </c>
      <c r="AH14" s="35">
        <f t="shared" si="15"/>
        <v>0.3666666666666667</v>
      </c>
      <c r="AI14" s="25">
        <f t="shared" si="16"/>
        <v>1</v>
      </c>
      <c r="AJ14" s="34">
        <v>0.53333339999999996</v>
      </c>
      <c r="AK14" s="35">
        <f t="shared" si="17"/>
        <v>0.53333333333333333</v>
      </c>
      <c r="AL14" s="25">
        <f t="shared" si="18"/>
        <v>1</v>
      </c>
      <c r="AM14" s="34">
        <v>0.98414999999999997</v>
      </c>
      <c r="AN14" s="35">
        <f t="shared" si="19"/>
        <v>0.98415106807538888</v>
      </c>
      <c r="AO14" s="25">
        <f t="shared" si="20"/>
        <v>1</v>
      </c>
      <c r="AP14" s="44">
        <f t="shared" si="23"/>
        <v>10</v>
      </c>
      <c r="AR14">
        <f>6*(5+K14/2)^2*(0.1+I14/100)</f>
        <v>64.125</v>
      </c>
      <c r="AS14">
        <f t="shared" si="21"/>
        <v>202.78105495829735</v>
      </c>
    </row>
    <row r="15" spans="1:45" x14ac:dyDescent="0.2">
      <c r="A15" s="38">
        <v>14</v>
      </c>
      <c r="B15" s="39">
        <v>43427.728815277776</v>
      </c>
      <c r="C15" s="34" t="s">
        <v>102</v>
      </c>
      <c r="D15" s="34" t="s">
        <v>103</v>
      </c>
      <c r="E15" s="34">
        <v>289723</v>
      </c>
      <c r="F15" s="24">
        <f t="shared" si="2"/>
        <v>2</v>
      </c>
      <c r="G15" s="24">
        <f t="shared" si="3"/>
        <v>8</v>
      </c>
      <c r="H15" s="24">
        <f t="shared" si="4"/>
        <v>9</v>
      </c>
      <c r="I15" s="24">
        <f t="shared" si="5"/>
        <v>7</v>
      </c>
      <c r="J15" s="24">
        <f t="shared" si="6"/>
        <v>2</v>
      </c>
      <c r="K15" s="24">
        <f t="shared" si="7"/>
        <v>3</v>
      </c>
      <c r="L15" s="25">
        <v>2</v>
      </c>
      <c r="M15" s="34" t="s">
        <v>48</v>
      </c>
      <c r="N15" s="25">
        <f t="shared" si="8"/>
        <v>1</v>
      </c>
      <c r="O15" s="25">
        <f t="shared" si="9"/>
        <v>0</v>
      </c>
      <c r="P15" s="25">
        <f t="shared" si="10"/>
        <v>1</v>
      </c>
      <c r="Q15" s="25">
        <f t="shared" si="11"/>
        <v>0</v>
      </c>
      <c r="R15" s="25">
        <f t="shared" si="12"/>
        <v>0</v>
      </c>
      <c r="S15" s="34" t="s">
        <v>49</v>
      </c>
      <c r="T15" s="25">
        <v>1</v>
      </c>
      <c r="U15" s="34" t="s">
        <v>50</v>
      </c>
      <c r="V15" s="25">
        <v>1</v>
      </c>
      <c r="W15" s="34" t="s">
        <v>51</v>
      </c>
      <c r="X15" s="25">
        <v>1</v>
      </c>
      <c r="Y15" s="34" t="s">
        <v>104</v>
      </c>
      <c r="Z15" s="35">
        <f t="shared" si="13"/>
        <v>1.8181818181818181</v>
      </c>
      <c r="AA15" s="34" t="s">
        <v>4</v>
      </c>
      <c r="AB15" s="25">
        <f t="shared" si="14"/>
        <v>1</v>
      </c>
      <c r="AC15" s="40" t="s">
        <v>105</v>
      </c>
      <c r="AD15" s="35">
        <f>(AS15-AR15)/(0.3+J15/30)</f>
        <v>254.13642481351729</v>
      </c>
      <c r="AE15" s="34" t="s">
        <v>148</v>
      </c>
      <c r="AF15" s="25">
        <v>0</v>
      </c>
      <c r="AG15" s="34">
        <v>0.3</v>
      </c>
      <c r="AH15" s="35">
        <f t="shared" si="15"/>
        <v>0.30000000000000004</v>
      </c>
      <c r="AI15" s="25">
        <f t="shared" si="16"/>
        <v>1</v>
      </c>
      <c r="AJ15" s="34">
        <v>0.6</v>
      </c>
      <c r="AK15" s="35">
        <f t="shared" si="17"/>
        <v>0.6</v>
      </c>
      <c r="AL15" s="25">
        <f t="shared" si="18"/>
        <v>1</v>
      </c>
      <c r="AM15" s="34">
        <v>0.93689999999999996</v>
      </c>
      <c r="AN15" s="35">
        <f t="shared" si="19"/>
        <v>0.9369042655519807</v>
      </c>
      <c r="AO15" s="25">
        <f t="shared" si="20"/>
        <v>1</v>
      </c>
      <c r="AP15" s="44">
        <f t="shared" si="23"/>
        <v>11</v>
      </c>
      <c r="AR15">
        <f>6*(5+K15/2)^2*(0.1+I15/100)</f>
        <v>43.095000000000006</v>
      </c>
      <c r="AS15">
        <f t="shared" si="21"/>
        <v>136.27835576495633</v>
      </c>
    </row>
    <row r="16" spans="1:45" x14ac:dyDescent="0.2">
      <c r="A16" s="38">
        <v>15</v>
      </c>
      <c r="B16" s="39">
        <v>43427.729849131945</v>
      </c>
      <c r="C16" s="34" t="s">
        <v>106</v>
      </c>
      <c r="D16" s="34" t="s">
        <v>107</v>
      </c>
      <c r="E16" s="34">
        <v>239515</v>
      </c>
      <c r="F16" s="24">
        <f t="shared" si="2"/>
        <v>2</v>
      </c>
      <c r="G16" s="24">
        <f t="shared" si="3"/>
        <v>3</v>
      </c>
      <c r="H16" s="24">
        <f t="shared" si="4"/>
        <v>9</v>
      </c>
      <c r="I16" s="24">
        <f t="shared" si="5"/>
        <v>5</v>
      </c>
      <c r="J16" s="24">
        <f t="shared" si="6"/>
        <v>1</v>
      </c>
      <c r="K16" s="24">
        <f t="shared" si="7"/>
        <v>5</v>
      </c>
      <c r="L16" s="25">
        <v>2</v>
      </c>
      <c r="M16" s="34" t="s">
        <v>48</v>
      </c>
      <c r="N16" s="25">
        <f t="shared" si="8"/>
        <v>1</v>
      </c>
      <c r="O16" s="25">
        <f t="shared" si="9"/>
        <v>0</v>
      </c>
      <c r="P16" s="25">
        <f t="shared" si="10"/>
        <v>1</v>
      </c>
      <c r="Q16" s="25">
        <f t="shared" si="11"/>
        <v>0</v>
      </c>
      <c r="R16" s="25">
        <f t="shared" si="12"/>
        <v>0</v>
      </c>
      <c r="S16" s="42"/>
      <c r="T16" s="25">
        <v>0</v>
      </c>
      <c r="U16" s="34" t="s">
        <v>108</v>
      </c>
      <c r="V16" s="25">
        <v>-1</v>
      </c>
      <c r="W16" s="34" t="s">
        <v>51</v>
      </c>
      <c r="X16" s="25">
        <v>1</v>
      </c>
      <c r="Y16" s="42"/>
      <c r="Z16" s="35">
        <f t="shared" si="13"/>
        <v>1.7142857142857142</v>
      </c>
      <c r="AA16" s="34" t="s">
        <v>4</v>
      </c>
      <c r="AB16" s="25">
        <f t="shared" si="14"/>
        <v>0</v>
      </c>
      <c r="AC16" s="42"/>
      <c r="AD16" s="35">
        <f>(AS16-AR16)/(0.3+J16/30)</f>
        <v>328.39591963807271</v>
      </c>
      <c r="AE16" s="34" t="s">
        <v>148</v>
      </c>
      <c r="AF16" s="25">
        <f t="shared" si="22"/>
        <v>0</v>
      </c>
      <c r="AG16" s="34">
        <v>0.37</v>
      </c>
      <c r="AH16" s="35">
        <f t="shared" si="15"/>
        <v>0.3666666666666667</v>
      </c>
      <c r="AI16" s="25">
        <f t="shared" si="16"/>
        <v>1</v>
      </c>
      <c r="AJ16" s="34">
        <v>0.53</v>
      </c>
      <c r="AK16" s="35">
        <f t="shared" si="17"/>
        <v>0.53333333333333333</v>
      </c>
      <c r="AL16" s="25">
        <f t="shared" si="18"/>
        <v>1</v>
      </c>
      <c r="AM16" s="42"/>
      <c r="AN16" s="35">
        <f t="shared" si="19"/>
        <v>0.92056717652757192</v>
      </c>
      <c r="AO16" s="25">
        <f t="shared" si="20"/>
        <v>0</v>
      </c>
      <c r="AP16" s="44">
        <f t="shared" si="23"/>
        <v>6</v>
      </c>
      <c r="AR16">
        <f>6*(5+K16/2)^2*(0.1+I16/100)</f>
        <v>50.625000000000007</v>
      </c>
      <c r="AS16">
        <f t="shared" si="21"/>
        <v>160.09030654602424</v>
      </c>
    </row>
    <row r="17" spans="1:45" x14ac:dyDescent="0.2">
      <c r="A17" s="38">
        <v>16</v>
      </c>
      <c r="B17" s="39">
        <v>43427.731468645834</v>
      </c>
      <c r="C17" s="34" t="s">
        <v>109</v>
      </c>
      <c r="D17" s="34" t="s">
        <v>110</v>
      </c>
      <c r="E17" s="34">
        <v>299225</v>
      </c>
      <c r="F17" s="24">
        <f t="shared" si="2"/>
        <v>2</v>
      </c>
      <c r="G17" s="24">
        <f t="shared" si="3"/>
        <v>9</v>
      </c>
      <c r="H17" s="24">
        <f t="shared" si="4"/>
        <v>9</v>
      </c>
      <c r="I17" s="24">
        <f t="shared" si="5"/>
        <v>2</v>
      </c>
      <c r="J17" s="24">
        <f t="shared" si="6"/>
        <v>2</v>
      </c>
      <c r="K17" s="24">
        <f t="shared" si="7"/>
        <v>5</v>
      </c>
      <c r="L17" s="25">
        <v>2</v>
      </c>
      <c r="M17" s="34" t="s">
        <v>48</v>
      </c>
      <c r="N17" s="25">
        <f t="shared" si="8"/>
        <v>1</v>
      </c>
      <c r="O17" s="25">
        <f t="shared" si="9"/>
        <v>0</v>
      </c>
      <c r="P17" s="25">
        <f t="shared" si="10"/>
        <v>1</v>
      </c>
      <c r="Q17" s="25">
        <f t="shared" si="11"/>
        <v>0</v>
      </c>
      <c r="R17" s="25">
        <f t="shared" si="12"/>
        <v>0</v>
      </c>
      <c r="S17" s="34" t="s">
        <v>111</v>
      </c>
      <c r="T17" s="25">
        <v>1</v>
      </c>
      <c r="U17" s="34" t="s">
        <v>50</v>
      </c>
      <c r="V17" s="25">
        <v>1</v>
      </c>
      <c r="W17" s="34" t="s">
        <v>51</v>
      </c>
      <c r="X17" s="25">
        <v>1</v>
      </c>
      <c r="Y17" s="34" t="s">
        <v>112</v>
      </c>
      <c r="Z17" s="35">
        <f t="shared" si="13"/>
        <v>1.7142857142857142</v>
      </c>
      <c r="AA17" s="34" t="s">
        <v>4</v>
      </c>
      <c r="AB17" s="25">
        <f t="shared" si="14"/>
        <v>1</v>
      </c>
      <c r="AC17" s="40">
        <v>10</v>
      </c>
      <c r="AD17" s="35">
        <f>(AS17-AR17)/(0.3+J17/30)</f>
        <v>238.83339610041651</v>
      </c>
      <c r="AE17" s="34" t="s">
        <v>148</v>
      </c>
      <c r="AF17" s="25">
        <f t="shared" si="22"/>
        <v>-1</v>
      </c>
      <c r="AG17" s="34">
        <v>0.36670000000000003</v>
      </c>
      <c r="AH17" s="35">
        <f t="shared" si="15"/>
        <v>0.3666666666666667</v>
      </c>
      <c r="AI17" s="25">
        <f t="shared" si="16"/>
        <v>1</v>
      </c>
      <c r="AJ17" s="34">
        <v>0.53300000000000003</v>
      </c>
      <c r="AK17" s="35">
        <f t="shared" si="17"/>
        <v>0.53333333333333333</v>
      </c>
      <c r="AL17" s="25">
        <f t="shared" si="18"/>
        <v>1</v>
      </c>
      <c r="AM17" s="34">
        <v>0.93689999999999996</v>
      </c>
      <c r="AN17" s="35">
        <f t="shared" si="19"/>
        <v>0.9369042655519807</v>
      </c>
      <c r="AO17" s="25">
        <f t="shared" si="20"/>
        <v>1</v>
      </c>
      <c r="AP17" s="44">
        <f t="shared" si="23"/>
        <v>10</v>
      </c>
      <c r="AR17">
        <f>6*(5+K17/2)^2*(0.1+I17/100)</f>
        <v>40.5</v>
      </c>
      <c r="AS17">
        <f t="shared" si="21"/>
        <v>128.07224523681938</v>
      </c>
    </row>
    <row r="19" spans="1:45" x14ac:dyDescent="0.2">
      <c r="A19" s="26" t="s">
        <v>139</v>
      </c>
      <c r="B19" s="16"/>
      <c r="C19" s="16"/>
      <c r="D19" s="16"/>
    </row>
    <row r="20" spans="1:45" x14ac:dyDescent="0.2">
      <c r="A20" s="27" t="s">
        <v>140</v>
      </c>
      <c r="B20" s="28"/>
      <c r="C20" s="28"/>
      <c r="D20" s="29" t="s">
        <v>141</v>
      </c>
    </row>
    <row r="21" spans="1:45" x14ac:dyDescent="0.2">
      <c r="A21" s="30" t="s">
        <v>142</v>
      </c>
      <c r="B21" s="31"/>
      <c r="C21" s="31"/>
      <c r="D21" s="16"/>
    </row>
    <row r="22" spans="1:45" x14ac:dyDescent="0.2">
      <c r="A22" s="32" t="s">
        <v>143</v>
      </c>
      <c r="B22" s="33"/>
      <c r="C22" s="33"/>
      <c r="D22" s="16"/>
    </row>
  </sheetData>
  <conditionalFormatting sqref="L2:L17">
    <cfRule type="cellIs" dxfId="61" priority="61" operator="lessThan">
      <formula>0</formula>
    </cfRule>
  </conditionalFormatting>
  <conditionalFormatting sqref="L2:L17">
    <cfRule type="containsText" dxfId="60" priority="62" operator="containsText" text=",">
      <formula>NOT(ISERROR(SEARCH(",",L2)))</formula>
    </cfRule>
  </conditionalFormatting>
  <conditionalFormatting sqref="L2:L17">
    <cfRule type="cellIs" dxfId="59" priority="60" operator="equal">
      <formula>0</formula>
    </cfRule>
  </conditionalFormatting>
  <conditionalFormatting sqref="N2:R2">
    <cfRule type="cellIs" dxfId="58" priority="58" operator="lessThan">
      <formula>0</formula>
    </cfRule>
  </conditionalFormatting>
  <conditionalFormatting sqref="N2:R2">
    <cfRule type="containsText" dxfId="57" priority="59" operator="containsText" text=",">
      <formula>NOT(ISERROR(SEARCH(",",N2)))</formula>
    </cfRule>
  </conditionalFormatting>
  <conditionalFormatting sqref="N2:R2">
    <cfRule type="cellIs" dxfId="56" priority="57" operator="equal">
      <formula>0</formula>
    </cfRule>
  </conditionalFormatting>
  <conditionalFormatting sqref="N3:R17">
    <cfRule type="cellIs" dxfId="55" priority="55" operator="lessThan">
      <formula>0</formula>
    </cfRule>
  </conditionalFormatting>
  <conditionalFormatting sqref="N3:R17">
    <cfRule type="containsText" dxfId="54" priority="56" operator="containsText" text=",">
      <formula>NOT(ISERROR(SEARCH(",",N3)))</formula>
    </cfRule>
  </conditionalFormatting>
  <conditionalFormatting sqref="N3:R17">
    <cfRule type="cellIs" dxfId="53" priority="54" operator="equal">
      <formula>0</formula>
    </cfRule>
  </conditionalFormatting>
  <conditionalFormatting sqref="T2">
    <cfRule type="cellIs" dxfId="52" priority="52" operator="lessThan">
      <formula>0</formula>
    </cfRule>
  </conditionalFormatting>
  <conditionalFormatting sqref="T2">
    <cfRule type="containsText" dxfId="51" priority="53" operator="containsText" text=",">
      <formula>NOT(ISERROR(SEARCH(",",T2)))</formula>
    </cfRule>
  </conditionalFormatting>
  <conditionalFormatting sqref="T2">
    <cfRule type="cellIs" dxfId="50" priority="51" operator="equal">
      <formula>0</formula>
    </cfRule>
  </conditionalFormatting>
  <conditionalFormatting sqref="T3:T15">
    <cfRule type="cellIs" dxfId="49" priority="49" operator="lessThan">
      <formula>0</formula>
    </cfRule>
  </conditionalFormatting>
  <conditionalFormatting sqref="T3:T15">
    <cfRule type="containsText" dxfId="48" priority="50" operator="containsText" text=",">
      <formula>NOT(ISERROR(SEARCH(",",T3)))</formula>
    </cfRule>
  </conditionalFormatting>
  <conditionalFormatting sqref="T3:T15">
    <cfRule type="cellIs" dxfId="47" priority="48" operator="equal">
      <formula>0</formula>
    </cfRule>
  </conditionalFormatting>
  <conditionalFormatting sqref="T16">
    <cfRule type="cellIs" dxfId="46" priority="46" operator="lessThan">
      <formula>0</formula>
    </cfRule>
  </conditionalFormatting>
  <conditionalFormatting sqref="T16">
    <cfRule type="containsText" dxfId="45" priority="47" operator="containsText" text=",">
      <formula>NOT(ISERROR(SEARCH(",",T16)))</formula>
    </cfRule>
  </conditionalFormatting>
  <conditionalFormatting sqref="T16">
    <cfRule type="cellIs" dxfId="44" priority="45" operator="equal">
      <formula>0</formula>
    </cfRule>
  </conditionalFormatting>
  <conditionalFormatting sqref="T17">
    <cfRule type="cellIs" dxfId="43" priority="43" operator="lessThan">
      <formula>0</formula>
    </cfRule>
  </conditionalFormatting>
  <conditionalFormatting sqref="T17">
    <cfRule type="containsText" dxfId="42" priority="44" operator="containsText" text=",">
      <formula>NOT(ISERROR(SEARCH(",",T17)))</formula>
    </cfRule>
  </conditionalFormatting>
  <conditionalFormatting sqref="T17">
    <cfRule type="cellIs" dxfId="41" priority="42" operator="equal">
      <formula>0</formula>
    </cfRule>
  </conditionalFormatting>
  <conditionalFormatting sqref="V2">
    <cfRule type="cellIs" dxfId="40" priority="40" operator="lessThan">
      <formula>0</formula>
    </cfRule>
  </conditionalFormatting>
  <conditionalFormatting sqref="V2">
    <cfRule type="containsText" dxfId="39" priority="41" operator="containsText" text=",">
      <formula>NOT(ISERROR(SEARCH(",",V2)))</formula>
    </cfRule>
  </conditionalFormatting>
  <conditionalFormatting sqref="V2">
    <cfRule type="cellIs" dxfId="38" priority="39" operator="equal">
      <formula>0</formula>
    </cfRule>
  </conditionalFormatting>
  <conditionalFormatting sqref="V3:V15">
    <cfRule type="cellIs" dxfId="37" priority="37" operator="lessThan">
      <formula>0</formula>
    </cfRule>
  </conditionalFormatting>
  <conditionalFormatting sqref="V3:V15">
    <cfRule type="containsText" dxfId="36" priority="38" operator="containsText" text=",">
      <formula>NOT(ISERROR(SEARCH(",",V3)))</formula>
    </cfRule>
  </conditionalFormatting>
  <conditionalFormatting sqref="V3:V15">
    <cfRule type="cellIs" dxfId="35" priority="36" operator="equal">
      <formula>0</formula>
    </cfRule>
  </conditionalFormatting>
  <conditionalFormatting sqref="V16">
    <cfRule type="cellIs" dxfId="34" priority="34" operator="lessThan">
      <formula>0</formula>
    </cfRule>
  </conditionalFormatting>
  <conditionalFormatting sqref="V16">
    <cfRule type="containsText" dxfId="33" priority="35" operator="containsText" text=",">
      <formula>NOT(ISERROR(SEARCH(",",V16)))</formula>
    </cfRule>
  </conditionalFormatting>
  <conditionalFormatting sqref="V16">
    <cfRule type="cellIs" dxfId="32" priority="33" operator="equal">
      <formula>0</formula>
    </cfRule>
  </conditionalFormatting>
  <conditionalFormatting sqref="V17">
    <cfRule type="cellIs" dxfId="31" priority="31" operator="lessThan">
      <formula>0</formula>
    </cfRule>
  </conditionalFormatting>
  <conditionalFormatting sqref="V17">
    <cfRule type="containsText" dxfId="30" priority="32" operator="containsText" text=",">
      <formula>NOT(ISERROR(SEARCH(",",V17)))</formula>
    </cfRule>
  </conditionalFormatting>
  <conditionalFormatting sqref="V17">
    <cfRule type="cellIs" dxfId="29" priority="30" operator="equal">
      <formula>0</formula>
    </cfRule>
  </conditionalFormatting>
  <conditionalFormatting sqref="X2:X17">
    <cfRule type="cellIs" dxfId="28" priority="28" operator="lessThan">
      <formula>0</formula>
    </cfRule>
  </conditionalFormatting>
  <conditionalFormatting sqref="X2:X17">
    <cfRule type="containsText" dxfId="27" priority="29" operator="containsText" text=",">
      <formula>NOT(ISERROR(SEARCH(",",X2)))</formula>
    </cfRule>
  </conditionalFormatting>
  <conditionalFormatting sqref="X2:X17">
    <cfRule type="cellIs" dxfId="26" priority="27" operator="equal">
      <formula>0</formula>
    </cfRule>
  </conditionalFormatting>
  <conditionalFormatting sqref="AB2:AB17">
    <cfRule type="cellIs" dxfId="23" priority="23" operator="lessThan">
      <formula>0</formula>
    </cfRule>
  </conditionalFormatting>
  <conditionalFormatting sqref="AB2:AB17">
    <cfRule type="containsText" dxfId="22" priority="24" operator="containsText" text=",">
      <formula>NOT(ISERROR(SEARCH(",",AB2)))</formula>
    </cfRule>
  </conditionalFormatting>
  <conditionalFormatting sqref="AB2:AB17">
    <cfRule type="cellIs" dxfId="21" priority="22" operator="equal">
      <formula>0</formula>
    </cfRule>
  </conditionalFormatting>
  <conditionalFormatting sqref="AF2:AF17">
    <cfRule type="cellIs" dxfId="20" priority="20" operator="lessThan">
      <formula>0</formula>
    </cfRule>
  </conditionalFormatting>
  <conditionalFormatting sqref="AF2:AF17">
    <cfRule type="containsText" dxfId="19" priority="21" operator="containsText" text=",">
      <formula>NOT(ISERROR(SEARCH(",",AF2)))</formula>
    </cfRule>
  </conditionalFormatting>
  <conditionalFormatting sqref="AF2:AF17">
    <cfRule type="cellIs" dxfId="18" priority="19" operator="equal">
      <formula>0</formula>
    </cfRule>
  </conditionalFormatting>
  <conditionalFormatting sqref="AI2:AI17">
    <cfRule type="cellIs" dxfId="17" priority="17" operator="lessThan">
      <formula>0</formula>
    </cfRule>
  </conditionalFormatting>
  <conditionalFormatting sqref="AI2:AI17">
    <cfRule type="containsText" dxfId="16" priority="18" operator="containsText" text=",">
      <formula>NOT(ISERROR(SEARCH(",",AI2)))</formula>
    </cfRule>
  </conditionalFormatting>
  <conditionalFormatting sqref="AI2:AI17">
    <cfRule type="cellIs" dxfId="15" priority="16" operator="equal">
      <formula>0</formula>
    </cfRule>
  </conditionalFormatting>
  <conditionalFormatting sqref="AL2:AL17">
    <cfRule type="cellIs" dxfId="14" priority="8" operator="lessThan">
      <formula>0</formula>
    </cfRule>
  </conditionalFormatting>
  <conditionalFormatting sqref="AL2:AL17">
    <cfRule type="containsText" dxfId="13" priority="9" operator="containsText" text=",">
      <formula>NOT(ISERROR(SEARCH(",",AL2)))</formula>
    </cfRule>
  </conditionalFormatting>
  <conditionalFormatting sqref="AL2:AL17">
    <cfRule type="cellIs" dxfId="12" priority="7" operator="equal">
      <formula>0</formula>
    </cfRule>
  </conditionalFormatting>
  <conditionalFormatting sqref="AO2">
    <cfRule type="cellIs" dxfId="5" priority="5" operator="lessThan">
      <formula>0</formula>
    </cfRule>
  </conditionalFormatting>
  <conditionalFormatting sqref="AO2">
    <cfRule type="containsText" dxfId="4" priority="6" operator="containsText" text=",">
      <formula>NOT(ISERROR(SEARCH(",",AO2)))</formula>
    </cfRule>
  </conditionalFormatting>
  <conditionalFormatting sqref="AO2">
    <cfRule type="cellIs" dxfId="3" priority="4" operator="equal">
      <formula>0</formula>
    </cfRule>
  </conditionalFormatting>
  <conditionalFormatting sqref="AO3:AO17">
    <cfRule type="cellIs" dxfId="2" priority="2" operator="lessThan">
      <formula>0</formula>
    </cfRule>
  </conditionalFormatting>
  <conditionalFormatting sqref="AO3:AO17">
    <cfRule type="containsText" dxfId="1" priority="3" operator="containsText" text=",">
      <formula>NOT(ISERROR(SEARCH(",",AO3)))</formula>
    </cfRule>
  </conditionalFormatting>
  <conditionalFormatting sqref="AO3:AO17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9"/>
  <sheetViews>
    <sheetView topLeftCell="A12" zoomScale="95" zoomScaleNormal="95" workbookViewId="0">
      <selection activeCell="D48" sqref="D48"/>
    </sheetView>
  </sheetViews>
  <sheetFormatPr defaultRowHeight="15" customHeight="1" x14ac:dyDescent="0.2"/>
  <cols>
    <col min="1" max="1" width="20.7109375" customWidth="1"/>
    <col min="2" max="2" width="10.7109375" customWidth="1"/>
    <col min="4" max="4" width="9.140625" bestFit="1" customWidth="1"/>
    <col min="5" max="5" width="12.85546875" bestFit="1" customWidth="1"/>
    <col min="7" max="7" width="14.28515625" customWidth="1"/>
  </cols>
  <sheetData>
    <row r="1" spans="1:15" ht="15" customHeight="1" x14ac:dyDescent="0.25">
      <c r="A1" s="23" t="s">
        <v>34</v>
      </c>
    </row>
    <row r="3" spans="1:15" ht="15" customHeight="1" x14ac:dyDescent="0.2">
      <c r="A3" s="1" t="s">
        <v>0</v>
      </c>
      <c r="B3" s="1">
        <v>123456</v>
      </c>
      <c r="D3" s="19" t="s">
        <v>124</v>
      </c>
      <c r="E3" s="20">
        <f>INT(B3/100000)</f>
        <v>1</v>
      </c>
      <c r="F3" s="19" t="s">
        <v>125</v>
      </c>
      <c r="G3" s="20">
        <f>INT((B3-E3*100000)/10000)</f>
        <v>2</v>
      </c>
      <c r="H3" s="19" t="s">
        <v>126</v>
      </c>
      <c r="I3" s="20">
        <f>INT((B3-E3*100000-G3*10000)/1000)</f>
        <v>3</v>
      </c>
      <c r="J3" s="19" t="s">
        <v>127</v>
      </c>
      <c r="K3" s="20">
        <f>INT((B3-E3*100000-G3*10000-I3*1000)/100)</f>
        <v>4</v>
      </c>
      <c r="L3" s="19" t="s">
        <v>128</v>
      </c>
      <c r="M3" s="20">
        <f>INT((B3-E3*100000-G3*10000-I3*1000-K3*100)/10)</f>
        <v>5</v>
      </c>
      <c r="N3" s="19" t="s">
        <v>129</v>
      </c>
      <c r="O3" s="20">
        <f>INT((B3-E3*100000-G3*10000-I3*1000-K3*100-M3*10))</f>
        <v>6</v>
      </c>
    </row>
    <row r="4" spans="1:15" ht="15" customHeight="1" x14ac:dyDescent="0.2">
      <c r="B4" s="5"/>
      <c r="G4" s="20"/>
    </row>
    <row r="5" spans="1:15" ht="15" customHeight="1" x14ac:dyDescent="0.2">
      <c r="A5" s="17" t="s">
        <v>123</v>
      </c>
    </row>
    <row r="6" spans="1:15" ht="15" customHeight="1" x14ac:dyDescent="0.2">
      <c r="A6" s="15" t="s">
        <v>118</v>
      </c>
      <c r="B6" s="3"/>
      <c r="C6" s="3"/>
      <c r="D6" s="3"/>
      <c r="E6" s="3"/>
      <c r="H6" s="6" t="s">
        <v>117</v>
      </c>
    </row>
    <row r="7" spans="1:15" ht="15" customHeight="1" x14ac:dyDescent="0.2">
      <c r="A7" s="10" t="s">
        <v>119</v>
      </c>
    </row>
    <row r="8" spans="1:15" ht="15" customHeight="1" x14ac:dyDescent="0.2">
      <c r="A8" s="15" t="s">
        <v>120</v>
      </c>
      <c r="B8" s="3"/>
      <c r="C8" s="3"/>
      <c r="D8" s="3"/>
      <c r="E8" s="3"/>
    </row>
    <row r="9" spans="1:15" ht="15" customHeight="1" x14ac:dyDescent="0.2">
      <c r="A9" s="10" t="s">
        <v>121</v>
      </c>
    </row>
    <row r="10" spans="1:15" ht="15" customHeight="1" x14ac:dyDescent="0.2">
      <c r="A10" s="10" t="s">
        <v>122</v>
      </c>
    </row>
    <row r="11" spans="1:15" ht="15" customHeight="1" x14ac:dyDescent="0.2">
      <c r="A11" s="4"/>
    </row>
    <row r="12" spans="1:15" ht="15" customHeight="1" x14ac:dyDescent="0.2">
      <c r="A12" s="17" t="s">
        <v>113</v>
      </c>
      <c r="H12" s="14" t="s">
        <v>5</v>
      </c>
    </row>
    <row r="13" spans="1:15" ht="15" customHeight="1" x14ac:dyDescent="0.2">
      <c r="A13" s="10" t="s">
        <v>6</v>
      </c>
    </row>
    <row r="14" spans="1:15" ht="15" customHeight="1" x14ac:dyDescent="0.2">
      <c r="A14" s="10" t="s">
        <v>7</v>
      </c>
    </row>
    <row r="15" spans="1:15" ht="15" customHeight="1" x14ac:dyDescent="0.2">
      <c r="A15" s="15" t="s">
        <v>8</v>
      </c>
      <c r="B15" s="3"/>
      <c r="C15" s="3"/>
      <c r="D15" s="3"/>
      <c r="E15" s="3"/>
      <c r="F15" s="3"/>
      <c r="G15" s="3"/>
    </row>
    <row r="16" spans="1:15" ht="15" customHeight="1" x14ac:dyDescent="0.2">
      <c r="A16" s="10" t="s">
        <v>9</v>
      </c>
    </row>
    <row r="17" spans="1:17" ht="15" customHeight="1" x14ac:dyDescent="0.2">
      <c r="A17" s="10" t="s">
        <v>10</v>
      </c>
    </row>
    <row r="18" spans="1:17" ht="15" customHeight="1" x14ac:dyDescent="0.2">
      <c r="A18" s="4"/>
    </row>
    <row r="19" spans="1:17" ht="15" customHeight="1" x14ac:dyDescent="0.2">
      <c r="A19" s="17" t="s">
        <v>114</v>
      </c>
      <c r="H19" s="14" t="s">
        <v>5</v>
      </c>
    </row>
    <row r="20" spans="1:17" ht="15" customHeight="1" x14ac:dyDescent="0.2">
      <c r="A20" s="10" t="s">
        <v>11</v>
      </c>
    </row>
    <row r="21" spans="1:17" ht="15" customHeight="1" x14ac:dyDescent="0.2">
      <c r="A21" s="15" t="s">
        <v>12</v>
      </c>
      <c r="B21" s="3"/>
      <c r="C21" s="3"/>
      <c r="D21" s="3"/>
      <c r="E21" s="3"/>
      <c r="F21" s="3"/>
      <c r="G21" s="3"/>
      <c r="H21" s="3"/>
      <c r="I21" s="3"/>
    </row>
    <row r="22" spans="1:17" ht="15" customHeight="1" x14ac:dyDescent="0.2">
      <c r="A22" s="10" t="s">
        <v>13</v>
      </c>
    </row>
    <row r="23" spans="1:17" ht="15" customHeight="1" x14ac:dyDescent="0.2">
      <c r="A23" s="10" t="s">
        <v>14</v>
      </c>
    </row>
    <row r="24" spans="1:17" ht="15" customHeight="1" x14ac:dyDescent="0.2">
      <c r="A24" s="10" t="s">
        <v>15</v>
      </c>
    </row>
    <row r="25" spans="1:17" ht="15" customHeight="1" x14ac:dyDescent="0.2">
      <c r="A25" s="4"/>
    </row>
    <row r="26" spans="1:17" ht="15" customHeight="1" x14ac:dyDescent="0.2">
      <c r="A26" s="17" t="s">
        <v>115</v>
      </c>
      <c r="H26" s="14" t="s">
        <v>5</v>
      </c>
    </row>
    <row r="27" spans="1:17" ht="15" customHeight="1" x14ac:dyDescent="0.2">
      <c r="A27" s="10" t="s">
        <v>16</v>
      </c>
    </row>
    <row r="28" spans="1:17" ht="15" customHeight="1" x14ac:dyDescent="0.2">
      <c r="A28" s="10" t="s">
        <v>17</v>
      </c>
    </row>
    <row r="29" spans="1:17" ht="15" customHeight="1" x14ac:dyDescent="0.2">
      <c r="A29" s="10" t="s">
        <v>18</v>
      </c>
    </row>
    <row r="30" spans="1:17" ht="15" customHeight="1" x14ac:dyDescent="0.2">
      <c r="A30" s="10" t="s">
        <v>19</v>
      </c>
    </row>
    <row r="31" spans="1:17" ht="15" customHeight="1" x14ac:dyDescent="0.2">
      <c r="A31" s="15" t="s">
        <v>20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" customHeight="1" x14ac:dyDescent="0.2">
      <c r="B32" s="5"/>
    </row>
    <row r="33" spans="1:10" ht="15" customHeight="1" thickBot="1" x14ac:dyDescent="0.25">
      <c r="A33" s="18" t="s">
        <v>41</v>
      </c>
    </row>
    <row r="34" spans="1:10" ht="15" customHeight="1" thickBot="1" x14ac:dyDescent="0.25">
      <c r="A34" s="6" t="s">
        <v>1</v>
      </c>
      <c r="F34" s="7" t="s">
        <v>21</v>
      </c>
      <c r="G34" s="11">
        <f>60/(30+F)</f>
        <v>1.6666666666666667</v>
      </c>
      <c r="H34" s="8" t="s">
        <v>4</v>
      </c>
      <c r="J34" s="1" t="s">
        <v>32</v>
      </c>
    </row>
    <row r="35" spans="1:10" ht="15" customHeight="1" x14ac:dyDescent="0.2">
      <c r="A35" s="6"/>
    </row>
    <row r="36" spans="1:10" ht="15" customHeight="1" x14ac:dyDescent="0.2">
      <c r="A36" s="18" t="s">
        <v>116</v>
      </c>
    </row>
    <row r="37" spans="1:10" ht="15" customHeight="1" x14ac:dyDescent="0.2">
      <c r="A37" s="18" t="s">
        <v>22</v>
      </c>
    </row>
    <row r="38" spans="1:10" ht="15" customHeight="1" thickBot="1" x14ac:dyDescent="0.25">
      <c r="A38" s="6" t="s">
        <v>1</v>
      </c>
      <c r="C38" s="2" t="s">
        <v>23</v>
      </c>
      <c r="D38">
        <f>6*(5+F/2)^2*(0.1+D/100)</f>
        <v>53.760000000000005</v>
      </c>
      <c r="E38" s="2" t="s">
        <v>130</v>
      </c>
      <c r="F38" s="2" t="s">
        <v>25</v>
      </c>
      <c r="G38" s="13">
        <f>D39-D38</f>
        <v>116.2440470106521</v>
      </c>
      <c r="H38" s="2" t="s">
        <v>130</v>
      </c>
    </row>
    <row r="39" spans="1:10" ht="15" customHeight="1" thickBot="1" x14ac:dyDescent="0.25">
      <c r="A39" s="6"/>
      <c r="C39" s="2" t="s">
        <v>24</v>
      </c>
      <c r="D39">
        <f>D38*10^(5/10)</f>
        <v>170.0040470106521</v>
      </c>
      <c r="E39" s="2" t="s">
        <v>130</v>
      </c>
      <c r="F39" s="7" t="s">
        <v>26</v>
      </c>
      <c r="G39" s="12">
        <f>G38/(0.3+E/30)</f>
        <v>249.09438645139736</v>
      </c>
      <c r="H39" s="8" t="s">
        <v>130</v>
      </c>
      <c r="J39" s="1" t="s">
        <v>33</v>
      </c>
    </row>
    <row r="40" spans="1:10" ht="15" customHeight="1" x14ac:dyDescent="0.2">
      <c r="A40" s="6"/>
      <c r="C40" s="2"/>
      <c r="E40" s="2"/>
      <c r="F40" s="2"/>
    </row>
    <row r="41" spans="1:10" ht="15" customHeight="1" thickBot="1" x14ac:dyDescent="0.25">
      <c r="A41" s="18" t="s">
        <v>43</v>
      </c>
      <c r="C41" s="2"/>
      <c r="E41" s="2"/>
      <c r="F41" s="2"/>
    </row>
    <row r="42" spans="1:10" ht="15" customHeight="1" thickBot="1" x14ac:dyDescent="0.25">
      <c r="A42" s="6" t="s">
        <v>1</v>
      </c>
      <c r="F42" s="7" t="s">
        <v>28</v>
      </c>
      <c r="G42" s="8">
        <f>(0.3+F/30)-0.1</f>
        <v>0.4</v>
      </c>
      <c r="H42" s="2"/>
      <c r="I42" s="1" t="s">
        <v>29</v>
      </c>
    </row>
    <row r="43" spans="1:10" ht="15" customHeight="1" x14ac:dyDescent="0.2">
      <c r="A43" s="6"/>
      <c r="C43" s="2"/>
      <c r="E43" s="2"/>
      <c r="F43" s="2"/>
    </row>
    <row r="44" spans="1:10" ht="15" customHeight="1" thickBot="1" x14ac:dyDescent="0.25">
      <c r="A44" s="18" t="s">
        <v>44</v>
      </c>
    </row>
    <row r="45" spans="1:10" ht="15" customHeight="1" thickBot="1" x14ac:dyDescent="0.25">
      <c r="A45" s="6" t="s">
        <v>1</v>
      </c>
      <c r="F45" s="7" t="s">
        <v>27</v>
      </c>
      <c r="G45" s="8">
        <f>1-(0.3+F/30)</f>
        <v>0.5</v>
      </c>
      <c r="I45" s="1" t="s">
        <v>30</v>
      </c>
    </row>
    <row r="46" spans="1:10" ht="15" customHeight="1" x14ac:dyDescent="0.2">
      <c r="A46" s="9" t="s">
        <v>3</v>
      </c>
    </row>
    <row r="47" spans="1:10" ht="15" customHeight="1" thickBot="1" x14ac:dyDescent="0.25">
      <c r="A47" s="18" t="s">
        <v>45</v>
      </c>
    </row>
    <row r="48" spans="1:10" ht="15" customHeight="1" thickBot="1" x14ac:dyDescent="0.25">
      <c r="A48" s="6" t="s">
        <v>1</v>
      </c>
      <c r="C48" s="2" t="s">
        <v>27</v>
      </c>
      <c r="D48" s="22">
        <f>10^(-(10+E)/10)</f>
        <v>3.1622776601683784E-2</v>
      </c>
      <c r="F48" s="7" t="s">
        <v>31</v>
      </c>
      <c r="G48" s="21">
        <f>1-D48</f>
        <v>0.96837722339831622</v>
      </c>
    </row>
    <row r="49" spans="1:1" ht="15" customHeight="1" x14ac:dyDescent="0.2">
      <c r="A49" s="4"/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Form Responses 1</vt:lpstr>
      <vt:lpstr>Solution</vt:lpstr>
      <vt:lpstr>A</vt:lpstr>
      <vt:lpstr>B</vt:lpstr>
      <vt:lpstr>CC</vt:lpstr>
      <vt:lpstr>D</vt:lpstr>
      <vt:lpstr>E</vt:lpstr>
      <vt:lpstr>F</vt:lpstr>
    </vt:vector>
  </TitlesOfParts>
  <Company>UNIPR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farina</cp:lastModifiedBy>
  <dcterms:created xsi:type="dcterms:W3CDTF">1999-10-15T07:15:54Z</dcterms:created>
  <dcterms:modified xsi:type="dcterms:W3CDTF">2018-11-24T19:20:36Z</dcterms:modified>
</cp:coreProperties>
</file>