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plied-Acoustics\Tests-2014\"/>
    </mc:Choice>
  </mc:AlternateContent>
  <bookViews>
    <workbookView xWindow="8190" yWindow="0" windowWidth="24030" windowHeight="12285"/>
  </bookViews>
  <sheets>
    <sheet name="2014-11-07" sheetId="1" r:id="rId1"/>
    <sheet name="Correction" sheetId="2" r:id="rId2"/>
  </sheets>
  <definedNames>
    <definedName name="A">Correction!$E$19</definedName>
    <definedName name="A_1">Correction!$E$32</definedName>
    <definedName name="A_2">Correction!$H$32</definedName>
    <definedName name="AA">Correction!$F$2</definedName>
    <definedName name="Alfa">Correction!$B$18</definedName>
    <definedName name="BB">Correction!$G$2</definedName>
    <definedName name="CC">Correction!$H$2</definedName>
    <definedName name="d">Correction!$E$5</definedName>
    <definedName name="DD">Correction!$I$2</definedName>
    <definedName name="EE">Correction!$J$2</definedName>
    <definedName name="FF">Correction!$K$2</definedName>
    <definedName name="Ldir">Correction!$B$6</definedName>
    <definedName name="Lrev">Correction!$H$6</definedName>
    <definedName name="Lrif">Correction!$E$6</definedName>
    <definedName name="Lw">Correction!$B$5</definedName>
    <definedName name="MTF">Correction!$B$15</definedName>
    <definedName name="N">Correction!$B$19</definedName>
    <definedName name="Nseats">Correction!$B$35</definedName>
    <definedName name="S">Correction!$E$18</definedName>
    <definedName name="SN">Correction!$E$15</definedName>
    <definedName name="SPL">Correction!$B$12</definedName>
    <definedName name="T">Correction!$H$5</definedName>
    <definedName name="T_1">Correction!$E$31</definedName>
    <definedName name="T_2">Correction!$H$31</definedName>
    <definedName name="V">Correction!$K$5</definedName>
    <definedName name="VV">Correction!$B$31</definedName>
  </definedNames>
  <calcPr calcId="152511"/>
</workbook>
</file>

<file path=xl/calcChain.xml><?xml version="1.0" encoding="utf-8"?>
<calcChain xmlns="http://schemas.openxmlformats.org/spreadsheetml/2006/main">
  <c r="AK192" i="1" l="1"/>
  <c r="AK191" i="1"/>
  <c r="AK186" i="1"/>
  <c r="AK176" i="1"/>
  <c r="AK175" i="1"/>
  <c r="AK174" i="1"/>
  <c r="AK171" i="1"/>
  <c r="AK170" i="1"/>
  <c r="AK164" i="1"/>
  <c r="AK163" i="1"/>
  <c r="AK161" i="1"/>
  <c r="AK159" i="1"/>
  <c r="AK155" i="1"/>
  <c r="AK154" i="1"/>
  <c r="AK153" i="1"/>
  <c r="AK150" i="1"/>
  <c r="AK148" i="1"/>
  <c r="AK140" i="1"/>
  <c r="AK137" i="1"/>
  <c r="AK130" i="1"/>
  <c r="AK129" i="1"/>
  <c r="AK124" i="1"/>
  <c r="AK108" i="1"/>
  <c r="AK100" i="1"/>
  <c r="AK99" i="1"/>
  <c r="AK86" i="1"/>
  <c r="AK85" i="1"/>
  <c r="AK82" i="1"/>
  <c r="AK73" i="1"/>
  <c r="AK56" i="1"/>
  <c r="AK54" i="1"/>
  <c r="AK47" i="1"/>
  <c r="H19" i="2" l="1"/>
  <c r="E18" i="2"/>
  <c r="E20" i="2"/>
  <c r="H15" i="2"/>
  <c r="B12" i="2"/>
  <c r="H6" i="2"/>
  <c r="B6" i="2"/>
  <c r="AB97" i="1" l="1"/>
  <c r="AQ192" i="1" l="1"/>
  <c r="AQ180" i="1"/>
  <c r="AQ191" i="1"/>
  <c r="AQ174" i="1"/>
  <c r="AQ56" i="1"/>
  <c r="AQ82" i="1"/>
  <c r="AQ54" i="1"/>
  <c r="AQ187" i="1"/>
  <c r="AQ186" i="1"/>
  <c r="AQ189" i="1"/>
  <c r="AQ47" i="1"/>
  <c r="AQ161" i="1"/>
  <c r="AQ73" i="1"/>
  <c r="AQ159" i="1"/>
  <c r="AQ143" i="1"/>
  <c r="AQ147" i="1"/>
  <c r="AQ176" i="1"/>
  <c r="AQ100" i="1"/>
  <c r="AQ99" i="1"/>
  <c r="AQ146" i="1"/>
  <c r="AQ157" i="1"/>
  <c r="AQ141" i="1"/>
  <c r="AQ182" i="1"/>
  <c r="AQ175" i="1"/>
  <c r="AN192" i="1"/>
  <c r="AN87" i="1"/>
  <c r="AN174" i="1"/>
  <c r="AN176" i="1"/>
  <c r="AN183" i="1"/>
  <c r="AN182" i="1"/>
  <c r="K32" i="2"/>
  <c r="AN175" i="1"/>
  <c r="AH192" i="1"/>
  <c r="AH191" i="1"/>
  <c r="AH175" i="1"/>
  <c r="AE192" i="1"/>
  <c r="AE175" i="1"/>
  <c r="AB192" i="1"/>
  <c r="AB174" i="1"/>
  <c r="AB6" i="1"/>
  <c r="AB38" i="1"/>
  <c r="AB137" i="1"/>
  <c r="AB186" i="1"/>
  <c r="AB164" i="1"/>
  <c r="AB78" i="1"/>
  <c r="AB129" i="1"/>
  <c r="AB149" i="1"/>
  <c r="AB124" i="1"/>
  <c r="AB176" i="1"/>
  <c r="AB100" i="1"/>
  <c r="AB99" i="1"/>
  <c r="AB42" i="1"/>
  <c r="AB146" i="1"/>
  <c r="AB41" i="1"/>
  <c r="AB40" i="1"/>
  <c r="AB157" i="1"/>
  <c r="AB142" i="1"/>
  <c r="AB145" i="1"/>
  <c r="AB39" i="1"/>
  <c r="AB144" i="1"/>
  <c r="AB98" i="1"/>
  <c r="AB182" i="1"/>
  <c r="AB88" i="1"/>
  <c r="K19" i="2"/>
  <c r="AB175" i="1"/>
  <c r="Y174" i="1"/>
  <c r="Y161" i="1"/>
  <c r="Y159" i="1"/>
  <c r="Y142" i="1"/>
  <c r="Y175" i="1"/>
  <c r="V192" i="1"/>
  <c r="V87" i="1"/>
  <c r="V179" i="1"/>
  <c r="V190" i="1"/>
  <c r="V181" i="1"/>
  <c r="V180" i="1"/>
  <c r="V191" i="1"/>
  <c r="V174" i="1"/>
  <c r="V33" i="1"/>
  <c r="V38" i="1"/>
  <c r="V58" i="1"/>
  <c r="V37" i="1"/>
  <c r="V57" i="1"/>
  <c r="V56" i="1"/>
  <c r="V155" i="1"/>
  <c r="V55" i="1"/>
  <c r="V32" i="1"/>
  <c r="V139" i="1"/>
  <c r="V138" i="1"/>
  <c r="V137" i="1"/>
  <c r="V84" i="1"/>
  <c r="V83" i="1"/>
  <c r="V31" i="1"/>
  <c r="V82" i="1"/>
  <c r="V54" i="1"/>
  <c r="V96" i="1"/>
  <c r="V53" i="1"/>
  <c r="V52" i="1"/>
  <c r="V51" i="1"/>
  <c r="V173" i="1"/>
  <c r="V81" i="1"/>
  <c r="V5" i="1"/>
  <c r="V113" i="1"/>
  <c r="V136" i="1"/>
  <c r="V135" i="1"/>
  <c r="V134" i="1"/>
  <c r="V187" i="1"/>
  <c r="V133" i="1"/>
  <c r="V186" i="1"/>
  <c r="V112" i="1"/>
  <c r="V50" i="1"/>
  <c r="V49" i="1"/>
  <c r="V80" i="1"/>
  <c r="V4" i="1"/>
  <c r="V30" i="1"/>
  <c r="V36" i="1"/>
  <c r="V29" i="1"/>
  <c r="V3" i="1"/>
  <c r="V178" i="1"/>
  <c r="V95" i="1"/>
  <c r="V164" i="1"/>
  <c r="V132" i="1"/>
  <c r="V131" i="1"/>
  <c r="V189" i="1"/>
  <c r="V111" i="1"/>
  <c r="V110" i="1"/>
  <c r="V35" i="1"/>
  <c r="V78" i="1"/>
  <c r="V109" i="1"/>
  <c r="V153" i="1"/>
  <c r="V7" i="1"/>
  <c r="V94" i="1"/>
  <c r="V163" i="1"/>
  <c r="V152" i="1"/>
  <c r="V108" i="1"/>
  <c r="V107" i="1"/>
  <c r="V106" i="1"/>
  <c r="V77" i="1"/>
  <c r="V105" i="1"/>
  <c r="V129" i="1"/>
  <c r="V76" i="1"/>
  <c r="V114" i="1"/>
  <c r="V75" i="1"/>
  <c r="V151" i="1"/>
  <c r="V74" i="1"/>
  <c r="V177" i="1"/>
  <c r="V162" i="1"/>
  <c r="V188" i="1"/>
  <c r="V73" i="1"/>
  <c r="V93" i="1"/>
  <c r="V28" i="1"/>
  <c r="V97" i="1"/>
  <c r="V92" i="1"/>
  <c r="V171" i="1"/>
  <c r="V185" i="1"/>
  <c r="V104" i="1"/>
  <c r="V160" i="1"/>
  <c r="V72" i="1"/>
  <c r="V170" i="1"/>
  <c r="V71" i="1"/>
  <c r="V128" i="1"/>
  <c r="V91" i="1"/>
  <c r="V27" i="1"/>
  <c r="V103" i="1"/>
  <c r="V26" i="1"/>
  <c r="V25" i="1"/>
  <c r="V24" i="1"/>
  <c r="V150" i="1"/>
  <c r="V23" i="1"/>
  <c r="V34" i="1"/>
  <c r="V184" i="1"/>
  <c r="V149" i="1"/>
  <c r="V22" i="1"/>
  <c r="V70" i="1"/>
  <c r="V21" i="1"/>
  <c r="V69" i="1"/>
  <c r="V68" i="1"/>
  <c r="V127" i="1"/>
  <c r="V20" i="1"/>
  <c r="V126" i="1"/>
  <c r="V19" i="1"/>
  <c r="V18" i="1"/>
  <c r="V125" i="1"/>
  <c r="V17" i="1"/>
  <c r="V90" i="1"/>
  <c r="V67" i="1"/>
  <c r="V124" i="1"/>
  <c r="V143" i="1"/>
  <c r="V16" i="1"/>
  <c r="V66" i="1"/>
  <c r="V15" i="1"/>
  <c r="V14" i="1"/>
  <c r="V13" i="1"/>
  <c r="V123" i="1"/>
  <c r="V65" i="1"/>
  <c r="V122" i="1"/>
  <c r="V121" i="1"/>
  <c r="V12" i="1"/>
  <c r="V11" i="1"/>
  <c r="V148" i="1"/>
  <c r="V10" i="1"/>
  <c r="V147" i="1"/>
  <c r="V9" i="1"/>
  <c r="V8" i="1"/>
  <c r="V64" i="1"/>
  <c r="V176" i="1"/>
  <c r="V120" i="1"/>
  <c r="V100" i="1"/>
  <c r="V99" i="1"/>
  <c r="V89" i="1"/>
  <c r="V42" i="1"/>
  <c r="V63" i="1"/>
  <c r="V169" i="1"/>
  <c r="V62" i="1"/>
  <c r="V146" i="1"/>
  <c r="V168" i="1"/>
  <c r="V41" i="1"/>
  <c r="V61" i="1"/>
  <c r="V119" i="1"/>
  <c r="V118" i="1"/>
  <c r="V183" i="1"/>
  <c r="V158" i="1"/>
  <c r="V40" i="1"/>
  <c r="V157" i="1"/>
  <c r="V142" i="1"/>
  <c r="V117" i="1"/>
  <c r="V141" i="1"/>
  <c r="V145" i="1"/>
  <c r="V39" i="1"/>
  <c r="V60" i="1"/>
  <c r="V156" i="1"/>
  <c r="V116" i="1"/>
  <c r="V115" i="1"/>
  <c r="V144" i="1"/>
  <c r="V167" i="1"/>
  <c r="V98" i="1"/>
  <c r="V166" i="1"/>
  <c r="V165" i="1"/>
  <c r="V59" i="1"/>
  <c r="V182" i="1"/>
  <c r="V88" i="1"/>
  <c r="V175" i="1"/>
  <c r="S87" i="1"/>
  <c r="S179" i="1"/>
  <c r="S190" i="1"/>
  <c r="S181" i="1"/>
  <c r="S180" i="1"/>
  <c r="S191" i="1"/>
  <c r="S174" i="1"/>
  <c r="S6" i="1"/>
  <c r="S33" i="1"/>
  <c r="S38" i="1"/>
  <c r="S58" i="1"/>
  <c r="S155" i="1"/>
  <c r="S55" i="1"/>
  <c r="S32" i="1"/>
  <c r="S139" i="1"/>
  <c r="S138" i="1"/>
  <c r="S137" i="1"/>
  <c r="S84" i="1"/>
  <c r="S83" i="1"/>
  <c r="S31" i="1"/>
  <c r="S82" i="1"/>
  <c r="S96" i="1"/>
  <c r="S53" i="1"/>
  <c r="S52" i="1"/>
  <c r="S51" i="1"/>
  <c r="S154" i="1"/>
  <c r="S173" i="1"/>
  <c r="S81" i="1"/>
  <c r="S5" i="1"/>
  <c r="S113" i="1"/>
  <c r="S136" i="1"/>
  <c r="S135" i="1"/>
  <c r="S134" i="1"/>
  <c r="S187" i="1"/>
  <c r="S133" i="1"/>
  <c r="S186" i="1"/>
  <c r="S112" i="1"/>
  <c r="S50" i="1"/>
  <c r="S49" i="1"/>
  <c r="S80" i="1"/>
  <c r="S4" i="1"/>
  <c r="S30" i="1"/>
  <c r="S29" i="1"/>
  <c r="S178" i="1"/>
  <c r="S95" i="1"/>
  <c r="S164" i="1"/>
  <c r="S132" i="1"/>
  <c r="S79" i="1"/>
  <c r="S131" i="1"/>
  <c r="S189" i="1"/>
  <c r="S111" i="1"/>
  <c r="S110" i="1"/>
  <c r="S35" i="1"/>
  <c r="S78" i="1"/>
  <c r="S109" i="1"/>
  <c r="S153" i="1"/>
  <c r="S7" i="1"/>
  <c r="S94" i="1"/>
  <c r="S163" i="1"/>
  <c r="S152" i="1"/>
  <c r="S108" i="1"/>
  <c r="S107" i="1"/>
  <c r="S106" i="1"/>
  <c r="S77" i="1"/>
  <c r="S105" i="1"/>
  <c r="S129" i="1"/>
  <c r="S76" i="1"/>
  <c r="S114" i="1"/>
  <c r="S75" i="1"/>
  <c r="S151" i="1"/>
  <c r="S74" i="1"/>
  <c r="S177" i="1"/>
  <c r="S162" i="1"/>
  <c r="S188" i="1"/>
  <c r="S73" i="1"/>
  <c r="S93" i="1"/>
  <c r="S28" i="1"/>
  <c r="S97" i="1"/>
  <c r="S92" i="1"/>
  <c r="S171" i="1"/>
  <c r="S185" i="1"/>
  <c r="S104" i="1"/>
  <c r="S160" i="1"/>
  <c r="S72" i="1"/>
  <c r="S170" i="1"/>
  <c r="S71" i="1"/>
  <c r="S128" i="1"/>
  <c r="S91" i="1"/>
  <c r="S27" i="1"/>
  <c r="S103" i="1"/>
  <c r="S26" i="1"/>
  <c r="S25" i="1"/>
  <c r="S24" i="1"/>
  <c r="S150" i="1"/>
  <c r="S23" i="1"/>
  <c r="S34" i="1"/>
  <c r="S184" i="1"/>
  <c r="S149" i="1"/>
  <c r="S22" i="1"/>
  <c r="S70" i="1"/>
  <c r="S21" i="1"/>
  <c r="S69" i="1"/>
  <c r="S68" i="1"/>
  <c r="S127" i="1"/>
  <c r="S20" i="1"/>
  <c r="S126" i="1"/>
  <c r="S19" i="1"/>
  <c r="S18" i="1"/>
  <c r="S125" i="1"/>
  <c r="S17" i="1"/>
  <c r="S90" i="1"/>
  <c r="S67" i="1"/>
  <c r="S143" i="1"/>
  <c r="S16" i="1"/>
  <c r="S66" i="1"/>
  <c r="S15" i="1"/>
  <c r="S14" i="1"/>
  <c r="S13" i="1"/>
  <c r="S123" i="1"/>
  <c r="S65" i="1"/>
  <c r="S122" i="1"/>
  <c r="S121" i="1"/>
  <c r="S12" i="1"/>
  <c r="S11" i="1"/>
  <c r="S148" i="1"/>
  <c r="S10" i="1"/>
  <c r="S147" i="1"/>
  <c r="S9" i="1"/>
  <c r="S8" i="1"/>
  <c r="S64" i="1"/>
  <c r="S176" i="1"/>
  <c r="S120" i="1"/>
  <c r="S100" i="1"/>
  <c r="S99" i="1"/>
  <c r="S89" i="1"/>
  <c r="S42" i="1"/>
  <c r="S63" i="1"/>
  <c r="S169" i="1"/>
  <c r="S62" i="1"/>
  <c r="S146" i="1"/>
  <c r="S168" i="1"/>
  <c r="S41" i="1"/>
  <c r="S61" i="1"/>
  <c r="S119" i="1"/>
  <c r="S118" i="1"/>
  <c r="S183" i="1"/>
  <c r="S158" i="1"/>
  <c r="S40" i="1"/>
  <c r="S157" i="1"/>
  <c r="S142" i="1"/>
  <c r="S117" i="1"/>
  <c r="S141" i="1"/>
  <c r="S145" i="1"/>
  <c r="S39" i="1"/>
  <c r="S60" i="1"/>
  <c r="S156" i="1"/>
  <c r="S116" i="1"/>
  <c r="S115" i="1"/>
  <c r="S144" i="1"/>
  <c r="S167" i="1"/>
  <c r="S98" i="1"/>
  <c r="S166" i="1"/>
  <c r="S165" i="1"/>
  <c r="S59" i="1"/>
  <c r="S182" i="1"/>
  <c r="S88" i="1"/>
  <c r="P179" i="1" l="1"/>
  <c r="P190" i="1"/>
  <c r="P181" i="1"/>
  <c r="P180" i="1"/>
  <c r="P174" i="1"/>
  <c r="P33" i="1"/>
  <c r="P57" i="1"/>
  <c r="P56" i="1"/>
  <c r="P32" i="1"/>
  <c r="P139" i="1"/>
  <c r="P138" i="1"/>
  <c r="P137" i="1"/>
  <c r="P84" i="1"/>
  <c r="P83" i="1"/>
  <c r="P31" i="1"/>
  <c r="P82" i="1"/>
  <c r="P54" i="1"/>
  <c r="P96" i="1"/>
  <c r="P81" i="1"/>
  <c r="P136" i="1"/>
  <c r="P135" i="1"/>
  <c r="P134" i="1"/>
  <c r="P187" i="1"/>
  <c r="P133" i="1"/>
  <c r="P186" i="1"/>
  <c r="P80" i="1"/>
  <c r="P30" i="1"/>
  <c r="P29" i="1"/>
  <c r="P178" i="1"/>
  <c r="P95" i="1"/>
  <c r="P164" i="1"/>
  <c r="P132" i="1"/>
  <c r="P131" i="1"/>
  <c r="P189" i="1"/>
  <c r="P110" i="1"/>
  <c r="P35" i="1"/>
  <c r="P78" i="1"/>
  <c r="P109" i="1"/>
  <c r="P153" i="1"/>
  <c r="P7" i="1"/>
  <c r="P94" i="1"/>
  <c r="P108" i="1"/>
  <c r="P77" i="1"/>
  <c r="P129" i="1"/>
  <c r="P76" i="1"/>
  <c r="P114" i="1"/>
  <c r="P75" i="1"/>
  <c r="P74" i="1"/>
  <c r="P177" i="1"/>
  <c r="P162" i="1"/>
  <c r="P188" i="1"/>
  <c r="P73" i="1"/>
  <c r="P93" i="1"/>
  <c r="P28" i="1"/>
  <c r="P97" i="1"/>
  <c r="P92" i="1"/>
  <c r="P171" i="1"/>
  <c r="P160" i="1"/>
  <c r="P72" i="1"/>
  <c r="P170" i="1"/>
  <c r="P71" i="1"/>
  <c r="P128" i="1"/>
  <c r="P91" i="1"/>
  <c r="P27" i="1"/>
  <c r="P26" i="1"/>
  <c r="P25" i="1"/>
  <c r="P24" i="1"/>
  <c r="P150" i="1"/>
  <c r="P23" i="1"/>
  <c r="P34" i="1"/>
  <c r="P22" i="1"/>
  <c r="P70" i="1"/>
  <c r="P21" i="1"/>
  <c r="P69" i="1"/>
  <c r="P68" i="1"/>
  <c r="P127" i="1"/>
  <c r="P20" i="1"/>
  <c r="P126" i="1"/>
  <c r="P19" i="1"/>
  <c r="P18" i="1"/>
  <c r="P125" i="1"/>
  <c r="P17" i="1"/>
  <c r="P90" i="1"/>
  <c r="P67" i="1"/>
  <c r="P143" i="1"/>
  <c r="P16" i="1"/>
  <c r="P66" i="1"/>
  <c r="P15" i="1"/>
  <c r="P14" i="1"/>
  <c r="P13" i="1"/>
  <c r="P123" i="1"/>
  <c r="P65" i="1"/>
  <c r="P122" i="1"/>
  <c r="P121" i="1"/>
  <c r="P12" i="1"/>
  <c r="P11" i="1"/>
  <c r="P148" i="1"/>
  <c r="P10" i="1"/>
  <c r="P147" i="1"/>
  <c r="P9" i="1"/>
  <c r="P8" i="1"/>
  <c r="P64" i="1"/>
  <c r="P176" i="1"/>
  <c r="P120" i="1"/>
  <c r="P100" i="1"/>
  <c r="P99" i="1"/>
  <c r="P89" i="1"/>
  <c r="P42" i="1"/>
  <c r="P63" i="1"/>
  <c r="P169" i="1"/>
  <c r="P62" i="1"/>
  <c r="P146" i="1"/>
  <c r="P168" i="1"/>
  <c r="P41" i="1"/>
  <c r="P61" i="1"/>
  <c r="P119" i="1"/>
  <c r="P118" i="1"/>
  <c r="P183" i="1"/>
  <c r="P158" i="1"/>
  <c r="P40" i="1"/>
  <c r="P157" i="1"/>
  <c r="P142" i="1"/>
  <c r="P117" i="1"/>
  <c r="P141" i="1"/>
  <c r="P145" i="1"/>
  <c r="P39" i="1"/>
  <c r="P60" i="1"/>
  <c r="P156" i="1"/>
  <c r="P116" i="1"/>
  <c r="P115" i="1"/>
  <c r="P144" i="1"/>
  <c r="P167" i="1"/>
  <c r="P98" i="1"/>
  <c r="P166" i="1"/>
  <c r="P165" i="1"/>
  <c r="P59" i="1"/>
  <c r="P182" i="1"/>
  <c r="P88" i="1"/>
  <c r="P175" i="1"/>
  <c r="B35" i="2"/>
  <c r="H31" i="2"/>
  <c r="E31" i="2"/>
  <c r="B31" i="2"/>
  <c r="H32" i="2" s="1"/>
  <c r="B28" i="2"/>
  <c r="E28" i="2" s="1"/>
  <c r="B22" i="2"/>
  <c r="H22" i="2" s="1"/>
  <c r="B25" i="2" s="1"/>
  <c r="E19" i="2"/>
  <c r="B19" i="2"/>
  <c r="B18" i="2"/>
  <c r="E15" i="2"/>
  <c r="B15" i="2"/>
  <c r="B9" i="2"/>
  <c r="K5" i="2"/>
  <c r="H5" i="2"/>
  <c r="E5" i="2"/>
  <c r="H18" i="2" l="1"/>
  <c r="K6" i="2"/>
  <c r="E32" i="2"/>
  <c r="E6" i="2"/>
  <c r="G192" i="1"/>
  <c r="G87" i="1"/>
  <c r="G179" i="1"/>
  <c r="H179" i="1" s="1"/>
  <c r="G190" i="1"/>
  <c r="G181" i="1"/>
  <c r="G180" i="1"/>
  <c r="G191" i="1"/>
  <c r="H191" i="1" s="1"/>
  <c r="G174" i="1"/>
  <c r="G86" i="1"/>
  <c r="G85" i="1"/>
  <c r="G140" i="1"/>
  <c r="H140" i="1" s="1"/>
  <c r="G6" i="1"/>
  <c r="G33" i="1"/>
  <c r="H33" i="1" s="1"/>
  <c r="I33" i="1" s="1"/>
  <c r="G38" i="1"/>
  <c r="G58" i="1"/>
  <c r="H58" i="1" s="1"/>
  <c r="G37" i="1"/>
  <c r="G57" i="1"/>
  <c r="G56" i="1"/>
  <c r="G155" i="1"/>
  <c r="H155" i="1" s="1"/>
  <c r="G55" i="1"/>
  <c r="G139" i="1"/>
  <c r="H139" i="1" s="1"/>
  <c r="I139" i="1" s="1"/>
  <c r="G138" i="1"/>
  <c r="G32" i="1"/>
  <c r="H32" i="1" s="1"/>
  <c r="G137" i="1"/>
  <c r="G82" i="1"/>
  <c r="G54" i="1"/>
  <c r="G96" i="1"/>
  <c r="G52" i="1"/>
  <c r="G31" i="1"/>
  <c r="H31" i="1" s="1"/>
  <c r="G51" i="1"/>
  <c r="G154" i="1"/>
  <c r="H154" i="1" s="1"/>
  <c r="G173" i="1"/>
  <c r="H173" i="1" s="1"/>
  <c r="I173" i="1" s="1"/>
  <c r="G5" i="1"/>
  <c r="G113" i="1"/>
  <c r="G136" i="1"/>
  <c r="G135" i="1"/>
  <c r="G134" i="1"/>
  <c r="G187" i="1"/>
  <c r="G186" i="1"/>
  <c r="G112" i="1"/>
  <c r="G50" i="1"/>
  <c r="G80" i="1"/>
  <c r="G4" i="1"/>
  <c r="G30" i="1"/>
  <c r="G81" i="1"/>
  <c r="H81" i="1" s="1"/>
  <c r="G36" i="1"/>
  <c r="G29" i="1"/>
  <c r="H29" i="1" s="1"/>
  <c r="G3" i="1"/>
  <c r="H3" i="1" s="1"/>
  <c r="I3" i="1" s="1"/>
  <c r="G178" i="1"/>
  <c r="G95" i="1"/>
  <c r="G164" i="1"/>
  <c r="G132" i="1"/>
  <c r="G131" i="1"/>
  <c r="G189" i="1"/>
  <c r="G111" i="1"/>
  <c r="G110" i="1"/>
  <c r="G35" i="1"/>
  <c r="G78" i="1"/>
  <c r="G172" i="1"/>
  <c r="G48" i="1"/>
  <c r="G109" i="1"/>
  <c r="H109" i="1" s="1"/>
  <c r="G153" i="1"/>
  <c r="G130" i="1"/>
  <c r="G7" i="1"/>
  <c r="H7" i="1" s="1"/>
  <c r="I7" i="1" s="1"/>
  <c r="G94" i="1"/>
  <c r="H94" i="1" s="1"/>
  <c r="G163" i="1"/>
  <c r="H163" i="1" s="1"/>
  <c r="G152" i="1"/>
  <c r="H152" i="1" s="1"/>
  <c r="G108" i="1"/>
  <c r="G107" i="1"/>
  <c r="G106" i="1"/>
  <c r="H106" i="1" s="1"/>
  <c r="G77" i="1"/>
  <c r="G105" i="1"/>
  <c r="H105" i="1" s="1"/>
  <c r="G76" i="1"/>
  <c r="H76" i="1" s="1"/>
  <c r="G114" i="1"/>
  <c r="G47" i="1"/>
  <c r="H47" i="1" s="1"/>
  <c r="G75" i="1"/>
  <c r="G151" i="1"/>
  <c r="G74" i="1"/>
  <c r="H74" i="1" s="1"/>
  <c r="G177" i="1"/>
  <c r="H177" i="1" s="1"/>
  <c r="I177" i="1" s="1"/>
  <c r="J177" i="1" s="1"/>
  <c r="G162" i="1"/>
  <c r="G188" i="1"/>
  <c r="G73" i="1"/>
  <c r="G93" i="1"/>
  <c r="H93" i="1" s="1"/>
  <c r="G28" i="1"/>
  <c r="G97" i="1"/>
  <c r="H97" i="1" s="1"/>
  <c r="I97" i="1" s="1"/>
  <c r="G92" i="1"/>
  <c r="G84" i="1"/>
  <c r="G171" i="1"/>
  <c r="G185" i="1"/>
  <c r="G104" i="1"/>
  <c r="G160" i="1"/>
  <c r="H160" i="1" s="1"/>
  <c r="I160" i="1" s="1"/>
  <c r="G72" i="1"/>
  <c r="G170" i="1"/>
  <c r="G71" i="1"/>
  <c r="G128" i="1"/>
  <c r="G91" i="1"/>
  <c r="G27" i="1"/>
  <c r="G103" i="1"/>
  <c r="H103" i="1" s="1"/>
  <c r="G26" i="1"/>
  <c r="G83" i="1"/>
  <c r="G25" i="1"/>
  <c r="H25" i="1" s="1"/>
  <c r="G24" i="1"/>
  <c r="H24" i="1" s="1"/>
  <c r="G53" i="1"/>
  <c r="G23" i="1"/>
  <c r="H23" i="1" s="1"/>
  <c r="I23" i="1" s="1"/>
  <c r="J23" i="1" s="1"/>
  <c r="G34" i="1"/>
  <c r="H34" i="1" s="1"/>
  <c r="G184" i="1"/>
  <c r="G161" i="1"/>
  <c r="G149" i="1"/>
  <c r="G22" i="1"/>
  <c r="G70" i="1"/>
  <c r="G21" i="1"/>
  <c r="G69" i="1"/>
  <c r="H69" i="1" s="1"/>
  <c r="G68" i="1"/>
  <c r="G127" i="1"/>
  <c r="G20" i="1"/>
  <c r="H20" i="1" s="1"/>
  <c r="G126" i="1"/>
  <c r="G19" i="1"/>
  <c r="G18" i="1"/>
  <c r="G125" i="1"/>
  <c r="G79" i="1"/>
  <c r="H79" i="1" s="1"/>
  <c r="G90" i="1"/>
  <c r="H90" i="1" s="1"/>
  <c r="G67" i="1"/>
  <c r="H67" i="1" s="1"/>
  <c r="I67" i="1" s="1"/>
  <c r="G159" i="1"/>
  <c r="G102" i="1"/>
  <c r="G124" i="1"/>
  <c r="H124" i="1" s="1"/>
  <c r="G143" i="1"/>
  <c r="G16" i="1"/>
  <c r="G66" i="1"/>
  <c r="G14" i="1"/>
  <c r="G13" i="1"/>
  <c r="G123" i="1"/>
  <c r="H123" i="1" s="1"/>
  <c r="G65" i="1"/>
  <c r="H65" i="1" s="1"/>
  <c r="G122" i="1"/>
  <c r="G121" i="1"/>
  <c r="G12" i="1"/>
  <c r="G11" i="1"/>
  <c r="H11" i="1" s="1"/>
  <c r="G46" i="1"/>
  <c r="H46" i="1" s="1"/>
  <c r="G45" i="1"/>
  <c r="G148" i="1"/>
  <c r="H148" i="1" s="1"/>
  <c r="I148" i="1" s="1"/>
  <c r="G10" i="1"/>
  <c r="G150" i="1"/>
  <c r="H150" i="1" s="1"/>
  <c r="G44" i="1"/>
  <c r="H44" i="1" s="1"/>
  <c r="G147" i="1"/>
  <c r="H147" i="1" s="1"/>
  <c r="G9" i="1"/>
  <c r="G43" i="1"/>
  <c r="H43" i="1" s="1"/>
  <c r="G101" i="1"/>
  <c r="H101" i="1" s="1"/>
  <c r="G8" i="1"/>
  <c r="G176" i="1"/>
  <c r="G120" i="1"/>
  <c r="H120" i="1" s="1"/>
  <c r="G100" i="1"/>
  <c r="G99" i="1"/>
  <c r="H99" i="1" s="1"/>
  <c r="G89" i="1"/>
  <c r="G42" i="1"/>
  <c r="G63" i="1"/>
  <c r="G169" i="1"/>
  <c r="H169" i="1" s="1"/>
  <c r="G62" i="1"/>
  <c r="G146" i="1"/>
  <c r="G41" i="1"/>
  <c r="H41" i="1" s="1"/>
  <c r="G119" i="1"/>
  <c r="G118" i="1"/>
  <c r="G183" i="1"/>
  <c r="H183" i="1" s="1"/>
  <c r="G64" i="1"/>
  <c r="H64" i="1" s="1"/>
  <c r="G168" i="1"/>
  <c r="G40" i="1"/>
  <c r="H40" i="1" s="1"/>
  <c r="I40" i="1" s="1"/>
  <c r="G15" i="1"/>
  <c r="G17" i="1"/>
  <c r="H17" i="1" s="1"/>
  <c r="I17" i="1" s="1"/>
  <c r="G157" i="1"/>
  <c r="G117" i="1"/>
  <c r="G141" i="1"/>
  <c r="G49" i="1"/>
  <c r="G145" i="1"/>
  <c r="H145" i="1" s="1"/>
  <c r="G39" i="1"/>
  <c r="G60" i="1"/>
  <c r="G61" i="1"/>
  <c r="H61" i="1" s="1"/>
  <c r="G156" i="1"/>
  <c r="H156" i="1" s="1"/>
  <c r="G116" i="1"/>
  <c r="H116" i="1" s="1"/>
  <c r="I116" i="1" s="1"/>
  <c r="G129" i="1"/>
  <c r="H129" i="1" s="1"/>
  <c r="G115" i="1"/>
  <c r="H115" i="1" s="1"/>
  <c r="G144" i="1"/>
  <c r="G158" i="1"/>
  <c r="H158" i="1" s="1"/>
  <c r="G167" i="1"/>
  <c r="H167" i="1" s="1"/>
  <c r="G166" i="1"/>
  <c r="H166" i="1" s="1"/>
  <c r="I166" i="1" s="1"/>
  <c r="J166" i="1" s="1"/>
  <c r="G165" i="1"/>
  <c r="H165" i="1" s="1"/>
  <c r="G142" i="1"/>
  <c r="G59" i="1"/>
  <c r="G98" i="1"/>
  <c r="H98" i="1" s="1"/>
  <c r="G182" i="1"/>
  <c r="G175" i="1"/>
  <c r="G133" i="1"/>
  <c r="G88" i="1"/>
  <c r="H88" i="1" s="1"/>
  <c r="E9" i="2" l="1"/>
  <c r="E12" i="2"/>
  <c r="K23" i="1"/>
  <c r="L23" i="1" s="1"/>
  <c r="E35" i="2"/>
  <c r="H49" i="1"/>
  <c r="I49" i="1" s="1"/>
  <c r="H12" i="1"/>
  <c r="I12" i="1" s="1"/>
  <c r="J12" i="1" s="1"/>
  <c r="H125" i="1"/>
  <c r="H107" i="1"/>
  <c r="I107" i="1" s="1"/>
  <c r="I191" i="1"/>
  <c r="J191" i="1" s="1"/>
  <c r="H63" i="1"/>
  <c r="I63" i="1" s="1"/>
  <c r="J63" i="1" s="1"/>
  <c r="H45" i="1"/>
  <c r="H68" i="1"/>
  <c r="I68" i="1" s="1"/>
  <c r="I98" i="1"/>
  <c r="I41" i="1"/>
  <c r="J41" i="1" s="1"/>
  <c r="H100" i="1"/>
  <c r="H161" i="1"/>
  <c r="I161" i="1" s="1"/>
  <c r="H53" i="1"/>
  <c r="I53" i="1" s="1"/>
  <c r="J53" i="1" s="1"/>
  <c r="H170" i="1"/>
  <c r="I74" i="1"/>
  <c r="J74" i="1" s="1"/>
  <c r="I103" i="1"/>
  <c r="J103" i="1" s="1"/>
  <c r="I32" i="1"/>
  <c r="J32" i="1" s="1"/>
  <c r="H62" i="1"/>
  <c r="I62" i="1" s="1"/>
  <c r="I65" i="1"/>
  <c r="J65" i="1" s="1"/>
  <c r="I24" i="1"/>
  <c r="J24" i="1" s="1"/>
  <c r="I179" i="1"/>
  <c r="J179" i="1" s="1"/>
  <c r="I99" i="1"/>
  <c r="I11" i="1"/>
  <c r="J11" i="1" s="1"/>
  <c r="I163" i="1"/>
  <c r="J163" i="1" s="1"/>
  <c r="I29" i="1"/>
  <c r="J29" i="1" s="1"/>
  <c r="I58" i="1"/>
  <c r="J58" i="1" s="1"/>
  <c r="I44" i="1"/>
  <c r="J44" i="1" s="1"/>
  <c r="I154" i="1"/>
  <c r="J154" i="1" s="1"/>
  <c r="H42" i="1"/>
  <c r="I42" i="1" s="1"/>
  <c r="H18" i="1"/>
  <c r="H127" i="1"/>
  <c r="H128" i="1"/>
  <c r="I128" i="1" s="1"/>
  <c r="H175" i="1"/>
  <c r="H142" i="1"/>
  <c r="I61" i="1"/>
  <c r="H15" i="1"/>
  <c r="I15" i="1" s="1"/>
  <c r="I43" i="1"/>
  <c r="I46" i="1"/>
  <c r="H102" i="1"/>
  <c r="I102" i="1" s="1"/>
  <c r="H21" i="1"/>
  <c r="I21" i="1" s="1"/>
  <c r="J21" i="1" s="1"/>
  <c r="J98" i="1"/>
  <c r="I158" i="1"/>
  <c r="I115" i="1"/>
  <c r="J116" i="1"/>
  <c r="K116" i="1" s="1"/>
  <c r="H9" i="1"/>
  <c r="H121" i="1"/>
  <c r="H70" i="1"/>
  <c r="I76" i="1"/>
  <c r="J76" i="1" s="1"/>
  <c r="H187" i="1"/>
  <c r="I187" i="1" s="1"/>
  <c r="H138" i="1"/>
  <c r="I138" i="1" s="1"/>
  <c r="J138" i="1" s="1"/>
  <c r="H181" i="1"/>
  <c r="I181" i="1" s="1"/>
  <c r="I88" i="1"/>
  <c r="K166" i="1"/>
  <c r="H60" i="1"/>
  <c r="I145" i="1"/>
  <c r="H89" i="1"/>
  <c r="I89" i="1" s="1"/>
  <c r="J89" i="1" s="1"/>
  <c r="H8" i="1"/>
  <c r="I8" i="1" s="1"/>
  <c r="H16" i="1"/>
  <c r="H189" i="1"/>
  <c r="I189" i="1" s="1"/>
  <c r="H57" i="1"/>
  <c r="H190" i="1"/>
  <c r="H182" i="1"/>
  <c r="I165" i="1"/>
  <c r="I129" i="1"/>
  <c r="I156" i="1"/>
  <c r="J156" i="1" s="1"/>
  <c r="I64" i="1"/>
  <c r="H119" i="1"/>
  <c r="H146" i="1"/>
  <c r="I147" i="1"/>
  <c r="J147" i="1" s="1"/>
  <c r="H126" i="1"/>
  <c r="I126" i="1" s="1"/>
  <c r="H22" i="1"/>
  <c r="I22" i="1" s="1"/>
  <c r="H84" i="1"/>
  <c r="I84" i="1" s="1"/>
  <c r="H54" i="1"/>
  <c r="I54" i="1" s="1"/>
  <c r="H37" i="1"/>
  <c r="I37" i="1" s="1"/>
  <c r="H108" i="1"/>
  <c r="H80" i="1"/>
  <c r="H136" i="1"/>
  <c r="I136" i="1" s="1"/>
  <c r="H82" i="1"/>
  <c r="I82" i="1" s="1"/>
  <c r="H86" i="1"/>
  <c r="I86" i="1" s="1"/>
  <c r="H117" i="1"/>
  <c r="I117" i="1" s="1"/>
  <c r="J17" i="1"/>
  <c r="J40" i="1"/>
  <c r="H27" i="1"/>
  <c r="I27" i="1" s="1"/>
  <c r="H104" i="1"/>
  <c r="I104" i="1" s="1"/>
  <c r="H73" i="1"/>
  <c r="I73" i="1" s="1"/>
  <c r="H78" i="1"/>
  <c r="I78" i="1" s="1"/>
  <c r="H164" i="1"/>
  <c r="H50" i="1"/>
  <c r="H157" i="1"/>
  <c r="H133" i="1"/>
  <c r="I167" i="1"/>
  <c r="J167" i="1" s="1"/>
  <c r="I120" i="1"/>
  <c r="J120" i="1" s="1"/>
  <c r="H39" i="1"/>
  <c r="I124" i="1"/>
  <c r="J124" i="1" s="1"/>
  <c r="H83" i="1"/>
  <c r="I83" i="1" s="1"/>
  <c r="H91" i="1"/>
  <c r="I91" i="1" s="1"/>
  <c r="H35" i="1"/>
  <c r="H130" i="1"/>
  <c r="I130" i="1" s="1"/>
  <c r="H149" i="1"/>
  <c r="H48" i="1"/>
  <c r="I48" i="1" s="1"/>
  <c r="H95" i="1"/>
  <c r="H30" i="1"/>
  <c r="H113" i="1"/>
  <c r="H52" i="1"/>
  <c r="I52" i="1" s="1"/>
  <c r="H6" i="1"/>
  <c r="I6" i="1" s="1"/>
  <c r="H59" i="1"/>
  <c r="H144" i="1"/>
  <c r="H141" i="1"/>
  <c r="I141" i="1" s="1"/>
  <c r="H168" i="1"/>
  <c r="H118" i="1"/>
  <c r="I169" i="1"/>
  <c r="H176" i="1"/>
  <c r="I101" i="1"/>
  <c r="J101" i="1" s="1"/>
  <c r="I150" i="1"/>
  <c r="H122" i="1"/>
  <c r="I123" i="1"/>
  <c r="J67" i="1"/>
  <c r="I20" i="1"/>
  <c r="J20" i="1" s="1"/>
  <c r="H184" i="1"/>
  <c r="I184" i="1" s="1"/>
  <c r="H26" i="1"/>
  <c r="H28" i="1"/>
  <c r="I28" i="1" s="1"/>
  <c r="H188" i="1"/>
  <c r="K177" i="1"/>
  <c r="H151" i="1"/>
  <c r="I152" i="1"/>
  <c r="J152" i="1" s="1"/>
  <c r="H172" i="1"/>
  <c r="H110" i="1"/>
  <c r="I110" i="1" s="1"/>
  <c r="H131" i="1"/>
  <c r="H4" i="1"/>
  <c r="H112" i="1"/>
  <c r="H134" i="1"/>
  <c r="I134" i="1" s="1"/>
  <c r="H96" i="1"/>
  <c r="H137" i="1"/>
  <c r="I137" i="1" s="1"/>
  <c r="I140" i="1"/>
  <c r="H185" i="1"/>
  <c r="I185" i="1" s="1"/>
  <c r="H92" i="1"/>
  <c r="H114" i="1"/>
  <c r="I114" i="1" s="1"/>
  <c r="J114" i="1" s="1"/>
  <c r="I105" i="1"/>
  <c r="J105" i="1" s="1"/>
  <c r="H178" i="1"/>
  <c r="I178" i="1" s="1"/>
  <c r="H5" i="1"/>
  <c r="H19" i="1"/>
  <c r="I19" i="1" s="1"/>
  <c r="I34" i="1"/>
  <c r="J160" i="1"/>
  <c r="I93" i="1"/>
  <c r="H75" i="1"/>
  <c r="I75" i="1" s="1"/>
  <c r="J75" i="1" s="1"/>
  <c r="I94" i="1"/>
  <c r="H153" i="1"/>
  <c r="H111" i="1"/>
  <c r="H132" i="1"/>
  <c r="H36" i="1"/>
  <c r="I36" i="1"/>
  <c r="H186" i="1"/>
  <c r="H135" i="1"/>
  <c r="I135" i="1" s="1"/>
  <c r="H51" i="1"/>
  <c r="I51" i="1" s="1"/>
  <c r="J51" i="1" s="1"/>
  <c r="H85" i="1"/>
  <c r="I85" i="1" s="1"/>
  <c r="J85" i="1" s="1"/>
  <c r="I183" i="1"/>
  <c r="J183" i="1" s="1"/>
  <c r="H10" i="1"/>
  <c r="H13" i="1"/>
  <c r="H66" i="1"/>
  <c r="I90" i="1"/>
  <c r="I25" i="1"/>
  <c r="H171" i="1"/>
  <c r="H77" i="1"/>
  <c r="J7" i="1"/>
  <c r="I109" i="1"/>
  <c r="J109" i="1" s="1"/>
  <c r="J3" i="1"/>
  <c r="I81" i="1"/>
  <c r="J81" i="1" s="1"/>
  <c r="J173" i="1"/>
  <c r="I31" i="1"/>
  <c r="H71" i="1"/>
  <c r="H14" i="1"/>
  <c r="H143" i="1"/>
  <c r="H159" i="1"/>
  <c r="I79" i="1"/>
  <c r="I69" i="1"/>
  <c r="J69" i="1" s="1"/>
  <c r="H72" i="1"/>
  <c r="J97" i="1"/>
  <c r="H162" i="1"/>
  <c r="I47" i="1"/>
  <c r="I106" i="1"/>
  <c r="J139" i="1"/>
  <c r="I155" i="1"/>
  <c r="H87" i="1"/>
  <c r="I87" i="1" s="1"/>
  <c r="J87" i="1" s="1"/>
  <c r="J148" i="1"/>
  <c r="H55" i="1"/>
  <c r="H56" i="1"/>
  <c r="H192" i="1"/>
  <c r="I192" i="1" s="1"/>
  <c r="H38" i="1"/>
  <c r="I38" i="1" s="1"/>
  <c r="J33" i="1"/>
  <c r="H174" i="1"/>
  <c r="H180" i="1"/>
  <c r="K154" i="1" l="1"/>
  <c r="AJ154" i="1" s="1"/>
  <c r="J184" i="1"/>
  <c r="K184" i="1" s="1"/>
  <c r="U23" i="1"/>
  <c r="AD23" i="1"/>
  <c r="X23" i="1"/>
  <c r="Y23" i="1" s="1"/>
  <c r="L166" i="1"/>
  <c r="R166" i="1" s="1"/>
  <c r="AM166" i="1"/>
  <c r="AN166" i="1" s="1"/>
  <c r="AA166" i="1"/>
  <c r="AB166" i="1" s="1"/>
  <c r="AJ166" i="1"/>
  <c r="AK166" i="1" s="1"/>
  <c r="L154" i="1"/>
  <c r="O154" i="1" s="1"/>
  <c r="P154" i="1" s="1"/>
  <c r="L177" i="1"/>
  <c r="AP177" i="1" s="1"/>
  <c r="AQ177" i="1" s="1"/>
  <c r="AJ177" i="1"/>
  <c r="AK177" i="1" s="1"/>
  <c r="L116" i="1"/>
  <c r="AM116" i="1" s="1"/>
  <c r="AN116" i="1" s="1"/>
  <c r="AP116" i="1"/>
  <c r="AQ116" i="1" s="1"/>
  <c r="AJ116" i="1"/>
  <c r="AK116" i="1" s="1"/>
  <c r="R23" i="1"/>
  <c r="AM23" i="1"/>
  <c r="AN23" i="1" s="1"/>
  <c r="AJ23" i="1"/>
  <c r="AK23" i="1" s="1"/>
  <c r="AA23" i="1"/>
  <c r="AB23" i="1" s="1"/>
  <c r="AP23" i="1"/>
  <c r="AQ23" i="1" s="1"/>
  <c r="K53" i="1"/>
  <c r="K11" i="1"/>
  <c r="K3" i="1"/>
  <c r="K124" i="1"/>
  <c r="K33" i="1"/>
  <c r="J68" i="1"/>
  <c r="K7" i="1"/>
  <c r="J137" i="1"/>
  <c r="K101" i="1"/>
  <c r="K120" i="1"/>
  <c r="L120" i="1" s="1"/>
  <c r="O120" i="1" s="1"/>
  <c r="K103" i="1"/>
  <c r="R154" i="1"/>
  <c r="U154" i="1"/>
  <c r="V154" i="1" s="1"/>
  <c r="O23" i="1"/>
  <c r="K97" i="1"/>
  <c r="K152" i="1"/>
  <c r="L152" i="1" s="1"/>
  <c r="K76" i="1"/>
  <c r="K67" i="1"/>
  <c r="K167" i="1"/>
  <c r="K87" i="1"/>
  <c r="K32" i="1"/>
  <c r="K65" i="1"/>
  <c r="K156" i="1"/>
  <c r="I170" i="1"/>
  <c r="K191" i="1"/>
  <c r="I5" i="1"/>
  <c r="K58" i="1"/>
  <c r="J86" i="1"/>
  <c r="J135" i="1"/>
  <c r="J123" i="1"/>
  <c r="J49" i="1"/>
  <c r="K44" i="1"/>
  <c r="J107" i="1"/>
  <c r="I35" i="1"/>
  <c r="J35" i="1" s="1"/>
  <c r="I70" i="1"/>
  <c r="J70" i="1" s="1"/>
  <c r="K160" i="1"/>
  <c r="K74" i="1"/>
  <c r="J27" i="1"/>
  <c r="I80" i="1"/>
  <c r="J80" i="1" s="1"/>
  <c r="J42" i="1"/>
  <c r="I100" i="1"/>
  <c r="J100" i="1" s="1"/>
  <c r="J78" i="1"/>
  <c r="J187" i="1"/>
  <c r="I9" i="1"/>
  <c r="J128" i="1"/>
  <c r="I125" i="1"/>
  <c r="J125" i="1" s="1"/>
  <c r="I45" i="1"/>
  <c r="J45" i="1" s="1"/>
  <c r="I92" i="1"/>
  <c r="K69" i="1"/>
  <c r="J158" i="1"/>
  <c r="J62" i="1"/>
  <c r="J102" i="1"/>
  <c r="I113" i="1"/>
  <c r="J113" i="1" s="1"/>
  <c r="J161" i="1"/>
  <c r="J99" i="1"/>
  <c r="J36" i="1"/>
  <c r="K36" i="1" s="1"/>
  <c r="K29" i="1"/>
  <c r="J6" i="1"/>
  <c r="I131" i="1"/>
  <c r="J131" i="1" s="1"/>
  <c r="J104" i="1"/>
  <c r="I18" i="1"/>
  <c r="J178" i="1"/>
  <c r="I10" i="1"/>
  <c r="J10" i="1" s="1"/>
  <c r="K148" i="1"/>
  <c r="I171" i="1"/>
  <c r="J171" i="1" s="1"/>
  <c r="J185" i="1"/>
  <c r="I162" i="1"/>
  <c r="J169" i="1"/>
  <c r="K89" i="1"/>
  <c r="K24" i="1"/>
  <c r="K109" i="1"/>
  <c r="J93" i="1"/>
  <c r="K41" i="1"/>
  <c r="J140" i="1"/>
  <c r="I149" i="1"/>
  <c r="J149" i="1" s="1"/>
  <c r="J38" i="1"/>
  <c r="I122" i="1"/>
  <c r="J122" i="1" s="1"/>
  <c r="I95" i="1"/>
  <c r="J95" i="1" s="1"/>
  <c r="I153" i="1"/>
  <c r="J153" i="1" s="1"/>
  <c r="I112" i="1"/>
  <c r="J112" i="1" s="1"/>
  <c r="I151" i="1"/>
  <c r="J151" i="1" s="1"/>
  <c r="J52" i="1"/>
  <c r="K20" i="1"/>
  <c r="J192" i="1"/>
  <c r="K147" i="1"/>
  <c r="K139" i="1"/>
  <c r="J79" i="1"/>
  <c r="K173" i="1"/>
  <c r="J48" i="1"/>
  <c r="J15" i="1"/>
  <c r="I159" i="1"/>
  <c r="J46" i="1"/>
  <c r="J115" i="1"/>
  <c r="I132" i="1"/>
  <c r="J132" i="1" s="1"/>
  <c r="I186" i="1"/>
  <c r="J91" i="1"/>
  <c r="J136" i="1"/>
  <c r="J165" i="1"/>
  <c r="J181" i="1"/>
  <c r="K163" i="1"/>
  <c r="K21" i="1"/>
  <c r="J43" i="1"/>
  <c r="I72" i="1"/>
  <c r="J72" i="1" s="1"/>
  <c r="I14" i="1"/>
  <c r="J14" i="1" s="1"/>
  <c r="I77" i="1"/>
  <c r="I4" i="1"/>
  <c r="J4" i="1" s="1"/>
  <c r="L67" i="1"/>
  <c r="J141" i="1"/>
  <c r="J134" i="1"/>
  <c r="J150" i="1"/>
  <c r="J73" i="1"/>
  <c r="K17" i="1"/>
  <c r="I108" i="1"/>
  <c r="J108" i="1" s="1"/>
  <c r="J54" i="1"/>
  <c r="I146" i="1"/>
  <c r="J146" i="1" s="1"/>
  <c r="I182" i="1"/>
  <c r="I57" i="1"/>
  <c r="J57" i="1" s="1"/>
  <c r="J189" i="1"/>
  <c r="J145" i="1"/>
  <c r="J25" i="1"/>
  <c r="I56" i="1"/>
  <c r="J56" i="1" s="1"/>
  <c r="J94" i="1"/>
  <c r="I66" i="1"/>
  <c r="K85" i="1"/>
  <c r="I111" i="1"/>
  <c r="K105" i="1"/>
  <c r="K12" i="1"/>
  <c r="K179" i="1"/>
  <c r="I172" i="1"/>
  <c r="J172" i="1" s="1"/>
  <c r="J28" i="1"/>
  <c r="I30" i="1"/>
  <c r="J130" i="1"/>
  <c r="I39" i="1"/>
  <c r="J39" i="1" s="1"/>
  <c r="I133" i="1"/>
  <c r="J133" i="1" s="1"/>
  <c r="I50" i="1"/>
  <c r="J50" i="1" s="1"/>
  <c r="J37" i="1"/>
  <c r="J84" i="1"/>
  <c r="J88" i="1"/>
  <c r="K98" i="1"/>
  <c r="I142" i="1"/>
  <c r="J142" i="1" s="1"/>
  <c r="I175" i="1"/>
  <c r="J175" i="1" s="1"/>
  <c r="I127" i="1"/>
  <c r="J127" i="1" s="1"/>
  <c r="J61" i="1"/>
  <c r="I174" i="1"/>
  <c r="I118" i="1"/>
  <c r="J118" i="1" s="1"/>
  <c r="J8" i="1"/>
  <c r="I188" i="1"/>
  <c r="K114" i="1"/>
  <c r="I13" i="1"/>
  <c r="J13" i="1" s="1"/>
  <c r="I144" i="1"/>
  <c r="J144" i="1" s="1"/>
  <c r="K138" i="1"/>
  <c r="I121" i="1"/>
  <c r="J121" i="1" s="1"/>
  <c r="K81" i="1"/>
  <c r="I164" i="1"/>
  <c r="I157" i="1"/>
  <c r="J157" i="1" s="1"/>
  <c r="K63" i="1"/>
  <c r="J82" i="1"/>
  <c r="J117" i="1"/>
  <c r="J22" i="1"/>
  <c r="I190" i="1"/>
  <c r="I16" i="1"/>
  <c r="J90" i="1"/>
  <c r="K183" i="1"/>
  <c r="J19" i="1"/>
  <c r="J64" i="1"/>
  <c r="I143" i="1"/>
  <c r="J143" i="1" s="1"/>
  <c r="K51" i="1"/>
  <c r="K40" i="1"/>
  <c r="I96" i="1"/>
  <c r="J96" i="1" s="1"/>
  <c r="I168" i="1"/>
  <c r="J168" i="1" s="1"/>
  <c r="J106" i="1"/>
  <c r="I71" i="1"/>
  <c r="J71" i="1" s="1"/>
  <c r="J129" i="1"/>
  <c r="I55" i="1"/>
  <c r="J55" i="1" s="1"/>
  <c r="J31" i="1"/>
  <c r="K75" i="1"/>
  <c r="I26" i="1"/>
  <c r="I176" i="1"/>
  <c r="J176" i="1" s="1"/>
  <c r="J83" i="1"/>
  <c r="I180" i="1"/>
  <c r="J155" i="1"/>
  <c r="J47" i="1"/>
  <c r="J34" i="1"/>
  <c r="J110" i="1"/>
  <c r="I59" i="1"/>
  <c r="J59" i="1" s="1"/>
  <c r="J126" i="1"/>
  <c r="I119" i="1"/>
  <c r="J119" i="1" s="1"/>
  <c r="I60" i="1"/>
  <c r="J60" i="1" s="1"/>
  <c r="AM154" i="1" l="1"/>
  <c r="AN154" i="1" s="1"/>
  <c r="O166" i="1"/>
  <c r="O116" i="1"/>
  <c r="AA116" i="1"/>
  <c r="AB116" i="1" s="1"/>
  <c r="R177" i="1"/>
  <c r="AA154" i="1"/>
  <c r="AB154" i="1" s="1"/>
  <c r="AP154" i="1"/>
  <c r="AQ154" i="1" s="1"/>
  <c r="L36" i="1"/>
  <c r="AM36" i="1" s="1"/>
  <c r="AN36" i="1" s="1"/>
  <c r="AJ36" i="1"/>
  <c r="AK36" i="1" s="1"/>
  <c r="L3" i="1"/>
  <c r="AA3" i="1" s="1"/>
  <c r="AB3" i="1" s="1"/>
  <c r="AJ3" i="1"/>
  <c r="AK3" i="1" s="1"/>
  <c r="AP3" i="1"/>
  <c r="AQ3" i="1" s="1"/>
  <c r="U67" i="1"/>
  <c r="X67" i="1"/>
  <c r="Y67" i="1" s="1"/>
  <c r="AD67" i="1"/>
  <c r="L20" i="1"/>
  <c r="AA20" i="1" s="1"/>
  <c r="AB20" i="1" s="1"/>
  <c r="AJ20" i="1"/>
  <c r="AK20" i="1" s="1"/>
  <c r="AJ74" i="1"/>
  <c r="AK74" i="1" s="1"/>
  <c r="AJ156" i="1"/>
  <c r="AK156" i="1" s="1"/>
  <c r="L7" i="1"/>
  <c r="O7" i="1" s="1"/>
  <c r="AJ7" i="1"/>
  <c r="U177" i="1"/>
  <c r="L65" i="1"/>
  <c r="AA65" i="1" s="1"/>
  <c r="AB65" i="1" s="1"/>
  <c r="AJ65" i="1"/>
  <c r="AK65" i="1" s="1"/>
  <c r="L103" i="1"/>
  <c r="AA103" i="1" s="1"/>
  <c r="AB103" i="1" s="1"/>
  <c r="AJ103" i="1"/>
  <c r="AK103" i="1" s="1"/>
  <c r="L179" i="1"/>
  <c r="AJ179" i="1"/>
  <c r="AK179" i="1" s="1"/>
  <c r="L167" i="1"/>
  <c r="U167" i="1" s="1"/>
  <c r="AJ167" i="1"/>
  <c r="AK167" i="1" s="1"/>
  <c r="AD116" i="1"/>
  <c r="X116" i="1"/>
  <c r="L63" i="1"/>
  <c r="AP63" i="1" s="1"/>
  <c r="AQ63" i="1" s="1"/>
  <c r="AJ63" i="1"/>
  <c r="AK63" i="1" s="1"/>
  <c r="AM63" i="1"/>
  <c r="AN63" i="1" s="1"/>
  <c r="L114" i="1"/>
  <c r="AP114" i="1" s="1"/>
  <c r="AQ114" i="1" s="1"/>
  <c r="AJ114" i="1"/>
  <c r="U152" i="1"/>
  <c r="AD152" i="1"/>
  <c r="X152" i="1"/>
  <c r="Y152" i="1" s="1"/>
  <c r="L139" i="1"/>
  <c r="AJ139" i="1"/>
  <c r="AK139" i="1" s="1"/>
  <c r="L24" i="1"/>
  <c r="AA24" i="1" s="1"/>
  <c r="AB24" i="1" s="1"/>
  <c r="AJ24" i="1"/>
  <c r="AK24" i="1" s="1"/>
  <c r="L156" i="1"/>
  <c r="AA156" i="1" s="1"/>
  <c r="AB156" i="1" s="1"/>
  <c r="AP152" i="1"/>
  <c r="AQ152" i="1" s="1"/>
  <c r="AJ152" i="1"/>
  <c r="AK152" i="1" s="1"/>
  <c r="AM152" i="1"/>
  <c r="AN152" i="1" s="1"/>
  <c r="AA152" i="1"/>
  <c r="AB152" i="1" s="1"/>
  <c r="L101" i="1"/>
  <c r="AM101" i="1"/>
  <c r="AN101" i="1" s="1"/>
  <c r="AJ101" i="1"/>
  <c r="AK101" i="1" s="1"/>
  <c r="L53" i="1"/>
  <c r="O53" i="1" s="1"/>
  <c r="P53" i="1" s="1"/>
  <c r="AP53" i="1"/>
  <c r="AQ53" i="1" s="1"/>
  <c r="AJ53" i="1"/>
  <c r="AK53" i="1" s="1"/>
  <c r="AP166" i="1"/>
  <c r="AQ166" i="1" s="1"/>
  <c r="L183" i="1"/>
  <c r="O183" i="1" s="1"/>
  <c r="AJ183" i="1"/>
  <c r="AK183" i="1" s="1"/>
  <c r="L98" i="1"/>
  <c r="AM98" i="1" s="1"/>
  <c r="AN98" i="1" s="1"/>
  <c r="AJ98" i="1"/>
  <c r="AK98" i="1" s="1"/>
  <c r="L21" i="1"/>
  <c r="U21" i="1" s="1"/>
  <c r="AJ21" i="1"/>
  <c r="AK21" i="1" s="1"/>
  <c r="L147" i="1"/>
  <c r="AP147" i="1" s="1"/>
  <c r="AJ147" i="1"/>
  <c r="AK147" i="1" s="1"/>
  <c r="L89" i="1"/>
  <c r="AM89" i="1" s="1"/>
  <c r="AN89" i="1" s="1"/>
  <c r="AP89" i="1"/>
  <c r="AQ89" i="1" s="1"/>
  <c r="AJ89" i="1"/>
  <c r="AK89" i="1" s="1"/>
  <c r="L74" i="1"/>
  <c r="AM74" i="1" s="1"/>
  <c r="AN74" i="1" s="1"/>
  <c r="L191" i="1"/>
  <c r="AA191" i="1" s="1"/>
  <c r="AB191" i="1" s="1"/>
  <c r="AJ191" i="1"/>
  <c r="AM67" i="1"/>
  <c r="AN67" i="1" s="1"/>
  <c r="AJ67" i="1"/>
  <c r="AK67" i="1" s="1"/>
  <c r="AP67" i="1"/>
  <c r="AQ67" i="1" s="1"/>
  <c r="AA67" i="1"/>
  <c r="AB67" i="1" s="1"/>
  <c r="L184" i="1"/>
  <c r="AM184" i="1" s="1"/>
  <c r="AN184" i="1" s="1"/>
  <c r="AJ184" i="1"/>
  <c r="AK184" i="1" s="1"/>
  <c r="L124" i="1"/>
  <c r="AA124" i="1" s="1"/>
  <c r="AJ124" i="1"/>
  <c r="O177" i="1"/>
  <c r="L85" i="1"/>
  <c r="AJ85" i="1"/>
  <c r="L163" i="1"/>
  <c r="AA163" i="1" s="1"/>
  <c r="AB163" i="1" s="1"/>
  <c r="AJ163" i="1"/>
  <c r="L44" i="1"/>
  <c r="AP44" i="1" s="1"/>
  <c r="AQ44" i="1" s="1"/>
  <c r="AJ44" i="1"/>
  <c r="AK44" i="1" s="1"/>
  <c r="AD177" i="1"/>
  <c r="X177" i="1"/>
  <c r="L75" i="1"/>
  <c r="AP75" i="1" s="1"/>
  <c r="AQ75" i="1" s="1"/>
  <c r="AJ75" i="1"/>
  <c r="AK75" i="1" s="1"/>
  <c r="L81" i="1"/>
  <c r="AA81" i="1" s="1"/>
  <c r="AB81" i="1" s="1"/>
  <c r="AP81" i="1"/>
  <c r="AQ81" i="1" s="1"/>
  <c r="AM81" i="1"/>
  <c r="AN81" i="1" s="1"/>
  <c r="AJ81" i="1"/>
  <c r="AK81" i="1" s="1"/>
  <c r="L40" i="1"/>
  <c r="O40" i="1" s="1"/>
  <c r="AJ40" i="1"/>
  <c r="AK40" i="1" s="1"/>
  <c r="AM40" i="1"/>
  <c r="AN40" i="1" s="1"/>
  <c r="L97" i="1"/>
  <c r="AM97" i="1" s="1"/>
  <c r="AN97" i="1" s="1"/>
  <c r="AJ97" i="1"/>
  <c r="AK97" i="1" s="1"/>
  <c r="U166" i="1"/>
  <c r="AD166" i="1"/>
  <c r="X166" i="1"/>
  <c r="Y166" i="1" s="1"/>
  <c r="L138" i="1"/>
  <c r="AJ138" i="1"/>
  <c r="AK138" i="1" s="1"/>
  <c r="L41" i="1"/>
  <c r="AA41" i="1" s="1"/>
  <c r="AJ41" i="1"/>
  <c r="AK41" i="1" s="1"/>
  <c r="L29" i="1"/>
  <c r="AA29" i="1" s="1"/>
  <c r="AB29" i="1" s="1"/>
  <c r="AJ29" i="1"/>
  <c r="AK29" i="1" s="1"/>
  <c r="AJ32" i="1"/>
  <c r="AK32" i="1" s="1"/>
  <c r="L76" i="1"/>
  <c r="AM76" i="1" s="1"/>
  <c r="AN76" i="1" s="1"/>
  <c r="AP76" i="1"/>
  <c r="AQ76" i="1" s="1"/>
  <c r="AJ76" i="1"/>
  <c r="AK76" i="1" s="1"/>
  <c r="AA76" i="1"/>
  <c r="AB76" i="1" s="1"/>
  <c r="L12" i="1"/>
  <c r="AP12" i="1" s="1"/>
  <c r="AQ12" i="1" s="1"/>
  <c r="AJ12" i="1"/>
  <c r="AK12" i="1" s="1"/>
  <c r="L17" i="1"/>
  <c r="AP17" i="1"/>
  <c r="AQ17" i="1" s="1"/>
  <c r="AJ17" i="1"/>
  <c r="AK17" i="1" s="1"/>
  <c r="L173" i="1"/>
  <c r="AM173" i="1" s="1"/>
  <c r="AN173" i="1" s="1"/>
  <c r="AP173" i="1"/>
  <c r="AQ173" i="1" s="1"/>
  <c r="AA173" i="1"/>
  <c r="AB173" i="1" s="1"/>
  <c r="AJ173" i="1"/>
  <c r="AK173" i="1" s="1"/>
  <c r="L148" i="1"/>
  <c r="AM148" i="1" s="1"/>
  <c r="AN148" i="1" s="1"/>
  <c r="AJ148" i="1"/>
  <c r="R120" i="1"/>
  <c r="X120" i="1"/>
  <c r="Y120" i="1" s="1"/>
  <c r="AD120" i="1"/>
  <c r="O152" i="1"/>
  <c r="P152" i="1" s="1"/>
  <c r="U120" i="1"/>
  <c r="L33" i="1"/>
  <c r="AM33" i="1" s="1"/>
  <c r="AN33" i="1" s="1"/>
  <c r="AJ33" i="1"/>
  <c r="AK33" i="1" s="1"/>
  <c r="AA33" i="1"/>
  <c r="AB33" i="1" s="1"/>
  <c r="R116" i="1"/>
  <c r="AA177" i="1"/>
  <c r="AB177" i="1" s="1"/>
  <c r="AG23" i="1"/>
  <c r="AH23" i="1" s="1"/>
  <c r="AE23" i="1"/>
  <c r="AR23" i="1" s="1"/>
  <c r="L160" i="1"/>
  <c r="AA160" i="1" s="1"/>
  <c r="AB160" i="1" s="1"/>
  <c r="AJ160" i="1"/>
  <c r="AK160" i="1" s="1"/>
  <c r="L87" i="1"/>
  <c r="R87" i="1" s="1"/>
  <c r="AJ87" i="1"/>
  <c r="AK87" i="1" s="1"/>
  <c r="L51" i="1"/>
  <c r="AA51" i="1" s="1"/>
  <c r="AB51" i="1" s="1"/>
  <c r="AJ51" i="1"/>
  <c r="AK51" i="1" s="1"/>
  <c r="L69" i="1"/>
  <c r="AM69" i="1" s="1"/>
  <c r="AN69" i="1" s="1"/>
  <c r="AJ69" i="1"/>
  <c r="AK69" i="1" s="1"/>
  <c r="L105" i="1"/>
  <c r="AM105" i="1" s="1"/>
  <c r="AN105" i="1" s="1"/>
  <c r="AJ105" i="1"/>
  <c r="AK105" i="1" s="1"/>
  <c r="L109" i="1"/>
  <c r="O109" i="1" s="1"/>
  <c r="AJ109" i="1"/>
  <c r="AK109" i="1" s="1"/>
  <c r="L32" i="1"/>
  <c r="AP32" i="1" s="1"/>
  <c r="AQ32" i="1" s="1"/>
  <c r="L58" i="1"/>
  <c r="R58" i="1" s="1"/>
  <c r="AJ58" i="1"/>
  <c r="AK58" i="1" s="1"/>
  <c r="R152" i="1"/>
  <c r="AP120" i="1"/>
  <c r="AQ120" i="1" s="1"/>
  <c r="AJ120" i="1"/>
  <c r="AK120" i="1" s="1"/>
  <c r="AA120" i="1"/>
  <c r="AB120" i="1" s="1"/>
  <c r="AM120" i="1"/>
  <c r="AN120" i="1" s="1"/>
  <c r="U116" i="1"/>
  <c r="L11" i="1"/>
  <c r="AA11" i="1" s="1"/>
  <c r="AB11" i="1" s="1"/>
  <c r="AJ11" i="1"/>
  <c r="AK11" i="1" s="1"/>
  <c r="AM177" i="1"/>
  <c r="AN177" i="1" s="1"/>
  <c r="X154" i="1"/>
  <c r="AD154" i="1"/>
  <c r="U76" i="1"/>
  <c r="K112" i="1"/>
  <c r="K57" i="1"/>
  <c r="K141" i="1"/>
  <c r="L141" i="1" s="1"/>
  <c r="K62" i="1"/>
  <c r="K50" i="1"/>
  <c r="K135" i="1"/>
  <c r="K68" i="1"/>
  <c r="K55" i="1"/>
  <c r="K117" i="1"/>
  <c r="K172" i="1"/>
  <c r="K158" i="1"/>
  <c r="K187" i="1"/>
  <c r="K107" i="1"/>
  <c r="R21" i="1"/>
  <c r="K13" i="1"/>
  <c r="Q175" i="1"/>
  <c r="K39" i="1"/>
  <c r="L39" i="1" s="1"/>
  <c r="O39" i="1" s="1"/>
  <c r="K15" i="1"/>
  <c r="L15" i="1" s="1"/>
  <c r="K38" i="1"/>
  <c r="L38" i="1" s="1"/>
  <c r="K99" i="1"/>
  <c r="O67" i="1"/>
  <c r="K110" i="1"/>
  <c r="K84" i="1"/>
  <c r="K131" i="1"/>
  <c r="K37" i="1"/>
  <c r="K115" i="1"/>
  <c r="K27" i="1"/>
  <c r="K47" i="1"/>
  <c r="K137" i="1"/>
  <c r="L137" i="1" s="1"/>
  <c r="K94" i="1"/>
  <c r="K54" i="1"/>
  <c r="K181" i="1"/>
  <c r="K102" i="1"/>
  <c r="K83" i="1"/>
  <c r="K19" i="1"/>
  <c r="K142" i="1"/>
  <c r="K25" i="1"/>
  <c r="K136" i="1"/>
  <c r="L136" i="1" s="1"/>
  <c r="K48" i="1"/>
  <c r="K178" i="1"/>
  <c r="K161" i="1"/>
  <c r="K70" i="1"/>
  <c r="R67" i="1"/>
  <c r="O3" i="1"/>
  <c r="P3" i="1" s="1"/>
  <c r="K134" i="1"/>
  <c r="L134" i="1" s="1"/>
  <c r="K31" i="1"/>
  <c r="K128" i="1"/>
  <c r="K192" i="1"/>
  <c r="K176" i="1"/>
  <c r="K73" i="1"/>
  <c r="L73" i="1" s="1"/>
  <c r="O73" i="1" s="1"/>
  <c r="K91" i="1"/>
  <c r="L91" i="1" s="1"/>
  <c r="K43" i="1"/>
  <c r="L43" i="1" s="1"/>
  <c r="K6" i="1"/>
  <c r="L6" i="1" s="1"/>
  <c r="K86" i="1"/>
  <c r="K22" i="1"/>
  <c r="L22" i="1" s="1"/>
  <c r="K46" i="1"/>
  <c r="K171" i="1"/>
  <c r="K155" i="1"/>
  <c r="K90" i="1"/>
  <c r="K8" i="1"/>
  <c r="K88" i="1"/>
  <c r="K189" i="1"/>
  <c r="K150" i="1"/>
  <c r="K169" i="1"/>
  <c r="K104" i="1"/>
  <c r="K113" i="1"/>
  <c r="K42" i="1"/>
  <c r="K123" i="1"/>
  <c r="J5" i="1"/>
  <c r="K100" i="1"/>
  <c r="K49" i="1"/>
  <c r="K129" i="1"/>
  <c r="K78" i="1"/>
  <c r="J170" i="1"/>
  <c r="J174" i="1"/>
  <c r="K4" i="1"/>
  <c r="K80" i="1"/>
  <c r="J159" i="1"/>
  <c r="J18" i="1"/>
  <c r="K121" i="1"/>
  <c r="K82" i="1"/>
  <c r="J9" i="1"/>
  <c r="J92" i="1"/>
  <c r="K35" i="1"/>
  <c r="K125" i="1"/>
  <c r="L158" i="1"/>
  <c r="K45" i="1"/>
  <c r="K72" i="1"/>
  <c r="K10" i="1"/>
  <c r="K143" i="1"/>
  <c r="K64" i="1"/>
  <c r="K96" i="1"/>
  <c r="J66" i="1"/>
  <c r="K93" i="1"/>
  <c r="J164" i="1"/>
  <c r="K108" i="1"/>
  <c r="K95" i="1"/>
  <c r="K122" i="1"/>
  <c r="K165" i="1"/>
  <c r="K132" i="1"/>
  <c r="J190" i="1"/>
  <c r="K146" i="1"/>
  <c r="K127" i="1"/>
  <c r="K52" i="1"/>
  <c r="K153" i="1"/>
  <c r="J188" i="1"/>
  <c r="K140" i="1"/>
  <c r="K118" i="1"/>
  <c r="J162" i="1"/>
  <c r="K185" i="1"/>
  <c r="K71" i="1"/>
  <c r="J16" i="1"/>
  <c r="K149" i="1"/>
  <c r="J182" i="1"/>
  <c r="K126" i="1"/>
  <c r="K34" i="1"/>
  <c r="K157" i="1"/>
  <c r="J26" i="1"/>
  <c r="K28" i="1"/>
  <c r="J77" i="1"/>
  <c r="K130" i="1"/>
  <c r="K59" i="1"/>
  <c r="J30" i="1"/>
  <c r="K168" i="1"/>
  <c r="K133" i="1"/>
  <c r="J111" i="1"/>
  <c r="J186" i="1"/>
  <c r="K151" i="1"/>
  <c r="K79" i="1"/>
  <c r="K119" i="1"/>
  <c r="J180" i="1"/>
  <c r="K106" i="1"/>
  <c r="K144" i="1"/>
  <c r="K56" i="1"/>
  <c r="K145" i="1"/>
  <c r="L47" i="1"/>
  <c r="K14" i="1"/>
  <c r="K61" i="1"/>
  <c r="K60" i="1"/>
  <c r="K175" i="1"/>
  <c r="U41" i="1" l="1"/>
  <c r="U74" i="1"/>
  <c r="O74" i="1"/>
  <c r="R40" i="1"/>
  <c r="O167" i="1"/>
  <c r="AM41" i="1"/>
  <c r="AN41" i="1" s="1"/>
  <c r="AM191" i="1"/>
  <c r="AN191" i="1" s="1"/>
  <c r="AA147" i="1"/>
  <c r="AB147" i="1" s="1"/>
  <c r="R109" i="1"/>
  <c r="R147" i="1"/>
  <c r="AP109" i="1"/>
  <c r="AQ109" i="1" s="1"/>
  <c r="AP41" i="1"/>
  <c r="AQ41" i="1" s="1"/>
  <c r="AM163" i="1"/>
  <c r="AN163" i="1" s="1"/>
  <c r="AP184" i="1"/>
  <c r="AQ184" i="1" s="1"/>
  <c r="AP191" i="1"/>
  <c r="AP7" i="1"/>
  <c r="AQ7" i="1" s="1"/>
  <c r="O147" i="1"/>
  <c r="AM65" i="1"/>
  <c r="AN65" i="1" s="1"/>
  <c r="R103" i="1"/>
  <c r="R89" i="1"/>
  <c r="U65" i="1"/>
  <c r="AM160" i="1"/>
  <c r="AN160" i="1" s="1"/>
  <c r="AA12" i="1"/>
  <c r="AB12" i="1" s="1"/>
  <c r="AP65" i="1"/>
  <c r="AQ65" i="1" s="1"/>
  <c r="O75" i="1"/>
  <c r="AA58" i="1"/>
  <c r="AB58" i="1" s="1"/>
  <c r="AP160" i="1"/>
  <c r="AQ160" i="1" s="1"/>
  <c r="AM12" i="1"/>
  <c r="AN12" i="1" s="1"/>
  <c r="AA44" i="1"/>
  <c r="AB44" i="1" s="1"/>
  <c r="AP24" i="1"/>
  <c r="AQ24" i="1" s="1"/>
  <c r="AM167" i="1"/>
  <c r="AN167" i="1" s="1"/>
  <c r="AP156" i="1"/>
  <c r="AQ156" i="1" s="1"/>
  <c r="U29" i="1"/>
  <c r="U32" i="1"/>
  <c r="O103" i="1"/>
  <c r="P103" i="1" s="1"/>
  <c r="R32" i="1"/>
  <c r="U53" i="1"/>
  <c r="AM32" i="1"/>
  <c r="AN32" i="1" s="1"/>
  <c r="AA53" i="1"/>
  <c r="AB53" i="1" s="1"/>
  <c r="U156" i="1"/>
  <c r="O36" i="1"/>
  <c r="P36" i="1" s="1"/>
  <c r="R53" i="1"/>
  <c r="AM11" i="1"/>
  <c r="AN11" i="1" s="1"/>
  <c r="AP40" i="1"/>
  <c r="AQ40" i="1" s="1"/>
  <c r="AM103" i="1"/>
  <c r="AN103" i="1" s="1"/>
  <c r="AP74" i="1"/>
  <c r="AQ74" i="1" s="1"/>
  <c r="AM3" i="1"/>
  <c r="AN3" i="1" s="1"/>
  <c r="O58" i="1"/>
  <c r="P58" i="1" s="1"/>
  <c r="U7" i="1"/>
  <c r="O124" i="1"/>
  <c r="P124" i="1" s="1"/>
  <c r="R41" i="1"/>
  <c r="R36" i="1"/>
  <c r="S36" i="1" s="1"/>
  <c r="AP11" i="1"/>
  <c r="AQ11" i="1" s="1"/>
  <c r="AM53" i="1"/>
  <c r="AN53" i="1" s="1"/>
  <c r="AM109" i="1"/>
  <c r="AN109" i="1" s="1"/>
  <c r="AA69" i="1"/>
  <c r="AB69" i="1" s="1"/>
  <c r="AA21" i="1"/>
  <c r="AB21" i="1" s="1"/>
  <c r="AP183" i="1"/>
  <c r="AQ183" i="1" s="1"/>
  <c r="U183" i="1"/>
  <c r="O76" i="1"/>
  <c r="AA109" i="1"/>
  <c r="AB109" i="1" s="1"/>
  <c r="AP21" i="1"/>
  <c r="AQ21" i="1" s="1"/>
  <c r="AA183" i="1"/>
  <c r="AB183" i="1" s="1"/>
  <c r="AA36" i="1"/>
  <c r="AB36" i="1" s="1"/>
  <c r="U3" i="1"/>
  <c r="U75" i="1"/>
  <c r="R76" i="1"/>
  <c r="AA40" i="1"/>
  <c r="AM21" i="1"/>
  <c r="AN21" i="1" s="1"/>
  <c r="AM24" i="1"/>
  <c r="AN24" i="1" s="1"/>
  <c r="AA74" i="1"/>
  <c r="AB74" i="1" s="1"/>
  <c r="AP36" i="1"/>
  <c r="AQ36" i="1" s="1"/>
  <c r="O51" i="1"/>
  <c r="P51" i="1" s="1"/>
  <c r="R75" i="1"/>
  <c r="AP51" i="1"/>
  <c r="AQ51" i="1" s="1"/>
  <c r="AA75" i="1"/>
  <c r="AB75" i="1" s="1"/>
  <c r="U36" i="1"/>
  <c r="R167" i="1"/>
  <c r="AM75" i="1"/>
  <c r="AN75" i="1" s="1"/>
  <c r="AM124" i="1"/>
  <c r="AN124" i="1" s="1"/>
  <c r="AM147" i="1"/>
  <c r="AN147" i="1" s="1"/>
  <c r="AA63" i="1"/>
  <c r="AB63" i="1" s="1"/>
  <c r="AA167" i="1"/>
  <c r="AB167" i="1" s="1"/>
  <c r="AP20" i="1"/>
  <c r="AQ20" i="1" s="1"/>
  <c r="R51" i="1"/>
  <c r="AP105" i="1"/>
  <c r="AQ105" i="1" s="1"/>
  <c r="AM51" i="1"/>
  <c r="AN51" i="1" s="1"/>
  <c r="AP163" i="1"/>
  <c r="AQ163" i="1" s="1"/>
  <c r="AP167" i="1"/>
  <c r="AQ167" i="1" s="1"/>
  <c r="R6" i="1"/>
  <c r="AD6" i="1"/>
  <c r="X6" i="1"/>
  <c r="Y6" i="1" s="1"/>
  <c r="U6" i="1"/>
  <c r="V6" i="1" s="1"/>
  <c r="O6" i="1"/>
  <c r="P6" i="1" s="1"/>
  <c r="U137" i="1"/>
  <c r="AD137" i="1"/>
  <c r="X137" i="1"/>
  <c r="O47" i="1"/>
  <c r="P47" i="1" s="1"/>
  <c r="AD47" i="1"/>
  <c r="X47" i="1"/>
  <c r="Y47" i="1" s="1"/>
  <c r="L130" i="1"/>
  <c r="AM130" i="1" s="1"/>
  <c r="AN130" i="1" s="1"/>
  <c r="AP130" i="1"/>
  <c r="AQ130" i="1" s="1"/>
  <c r="AJ130" i="1"/>
  <c r="L64" i="1"/>
  <c r="AP64" i="1" s="1"/>
  <c r="AQ64" i="1" s="1"/>
  <c r="AJ64" i="1"/>
  <c r="AK64" i="1" s="1"/>
  <c r="AJ80" i="1"/>
  <c r="AK80" i="1" s="1"/>
  <c r="AJ142" i="1"/>
  <c r="AK142" i="1" s="1"/>
  <c r="AM37" i="1"/>
  <c r="AN37" i="1" s="1"/>
  <c r="AJ37" i="1"/>
  <c r="AK37" i="1" s="1"/>
  <c r="AJ110" i="1"/>
  <c r="AK110" i="1" s="1"/>
  <c r="AJ107" i="1"/>
  <c r="AK107" i="1" s="1"/>
  <c r="O138" i="1"/>
  <c r="X138" i="1"/>
  <c r="Y138" i="1" s="1"/>
  <c r="AD138" i="1"/>
  <c r="R85" i="1"/>
  <c r="S85" i="1" s="1"/>
  <c r="X85" i="1"/>
  <c r="Y85" i="1" s="1"/>
  <c r="AD85" i="1"/>
  <c r="U139" i="1"/>
  <c r="X139" i="1"/>
  <c r="Y139" i="1" s="1"/>
  <c r="AD139" i="1"/>
  <c r="U136" i="1"/>
  <c r="AD136" i="1"/>
  <c r="X136" i="1"/>
  <c r="Y136" i="1" s="1"/>
  <c r="AD134" i="1"/>
  <c r="X134" i="1"/>
  <c r="Y134" i="1" s="1"/>
  <c r="AD141" i="1"/>
  <c r="X141" i="1"/>
  <c r="Y141" i="1" s="1"/>
  <c r="L4" i="1"/>
  <c r="AA4" i="1" s="1"/>
  <c r="AB4" i="1" s="1"/>
  <c r="AJ4" i="1"/>
  <c r="AK4" i="1" s="1"/>
  <c r="L176" i="1"/>
  <c r="AP176" i="1" s="1"/>
  <c r="AJ176" i="1"/>
  <c r="L19" i="1"/>
  <c r="AA19" i="1" s="1"/>
  <c r="AB19" i="1" s="1"/>
  <c r="AJ19" i="1"/>
  <c r="AK19" i="1" s="1"/>
  <c r="L172" i="1"/>
  <c r="AP172" i="1" s="1"/>
  <c r="AQ172" i="1" s="1"/>
  <c r="AM172" i="1"/>
  <c r="AN172" i="1" s="1"/>
  <c r="AJ172" i="1"/>
  <c r="AK172" i="1" s="1"/>
  <c r="U98" i="1"/>
  <c r="AD98" i="1"/>
  <c r="X98" i="1"/>
  <c r="Y98" i="1" s="1"/>
  <c r="R98" i="1"/>
  <c r="O98" i="1"/>
  <c r="AD101" i="1"/>
  <c r="X101" i="1"/>
  <c r="Y101" i="1" s="1"/>
  <c r="AD179" i="1"/>
  <c r="X179" i="1"/>
  <c r="Y179" i="1" s="1"/>
  <c r="O179" i="1"/>
  <c r="R179" i="1"/>
  <c r="U179" i="1"/>
  <c r="L140" i="1"/>
  <c r="AA140" i="1" s="1"/>
  <c r="AB140" i="1" s="1"/>
  <c r="AJ140" i="1"/>
  <c r="L10" i="1"/>
  <c r="AM10" i="1" s="1"/>
  <c r="AN10" i="1" s="1"/>
  <c r="AJ10" i="1"/>
  <c r="AK10" i="1" s="1"/>
  <c r="L31" i="1"/>
  <c r="AJ31" i="1"/>
  <c r="AK31" i="1" s="1"/>
  <c r="L178" i="1"/>
  <c r="U178" i="1" s="1"/>
  <c r="AJ178" i="1"/>
  <c r="AK178" i="1" s="1"/>
  <c r="L135" i="1"/>
  <c r="AP135" i="1" s="1"/>
  <c r="AQ135" i="1" s="1"/>
  <c r="AJ135" i="1"/>
  <c r="AK135" i="1" s="1"/>
  <c r="R17" i="1"/>
  <c r="AD17" i="1"/>
  <c r="X17" i="1"/>
  <c r="Y17" i="1" s="1"/>
  <c r="U17" i="1"/>
  <c r="U89" i="1"/>
  <c r="AD89" i="1"/>
  <c r="X89" i="1"/>
  <c r="Y89" i="1" s="1"/>
  <c r="L144" i="1"/>
  <c r="AA144" i="1" s="1"/>
  <c r="AM144" i="1"/>
  <c r="AN144" i="1" s="1"/>
  <c r="AJ144" i="1"/>
  <c r="AK144" i="1" s="1"/>
  <c r="L108" i="1"/>
  <c r="AP108" i="1" s="1"/>
  <c r="AQ108" i="1" s="1"/>
  <c r="AJ108" i="1"/>
  <c r="U73" i="1"/>
  <c r="U87" i="1"/>
  <c r="U184" i="1"/>
  <c r="AD184" i="1"/>
  <c r="X184" i="1"/>
  <c r="Y184" i="1" s="1"/>
  <c r="R184" i="1"/>
  <c r="O184" i="1"/>
  <c r="P184" i="1" s="1"/>
  <c r="L37" i="1"/>
  <c r="AP37" i="1" s="1"/>
  <c r="AQ37" i="1" s="1"/>
  <c r="L119" i="1"/>
  <c r="AJ119" i="1"/>
  <c r="AK119" i="1" s="1"/>
  <c r="AA119" i="1"/>
  <c r="AB119" i="1" s="1"/>
  <c r="L157" i="1"/>
  <c r="AM157" i="1"/>
  <c r="AN157" i="1" s="1"/>
  <c r="AJ157" i="1"/>
  <c r="AK157" i="1" s="1"/>
  <c r="L185" i="1"/>
  <c r="AM185" i="1" s="1"/>
  <c r="AN185" i="1" s="1"/>
  <c r="AJ185" i="1"/>
  <c r="AK185" i="1" s="1"/>
  <c r="L127" i="1"/>
  <c r="AA127" i="1" s="1"/>
  <c r="AB127" i="1" s="1"/>
  <c r="AP127" i="1"/>
  <c r="AQ127" i="1" s="1"/>
  <c r="AJ127" i="1"/>
  <c r="AK127" i="1" s="1"/>
  <c r="L122" i="1"/>
  <c r="AP122" i="1" s="1"/>
  <c r="AQ122" i="1" s="1"/>
  <c r="AJ122" i="1"/>
  <c r="AK122" i="1" s="1"/>
  <c r="L125" i="1"/>
  <c r="AP125" i="1" s="1"/>
  <c r="AQ125" i="1" s="1"/>
  <c r="AJ125" i="1"/>
  <c r="AK125" i="1" s="1"/>
  <c r="L189" i="1"/>
  <c r="AJ189" i="1"/>
  <c r="AK189" i="1" s="1"/>
  <c r="AJ171" i="1"/>
  <c r="L86" i="1"/>
  <c r="AM86" i="1" s="1"/>
  <c r="AN86" i="1" s="1"/>
  <c r="AP86" i="1"/>
  <c r="AQ86" i="1" s="1"/>
  <c r="AJ86" i="1"/>
  <c r="U134" i="1"/>
  <c r="L25" i="1"/>
  <c r="AM25" i="1" s="1"/>
  <c r="AN25" i="1" s="1"/>
  <c r="AJ25" i="1"/>
  <c r="AK25" i="1" s="1"/>
  <c r="AP47" i="1"/>
  <c r="AM47" i="1"/>
  <c r="AN47" i="1" s="1"/>
  <c r="AJ47" i="1"/>
  <c r="AA47" i="1"/>
  <c r="AB47" i="1" s="1"/>
  <c r="L99" i="1"/>
  <c r="AP99" i="1" s="1"/>
  <c r="AJ99" i="1"/>
  <c r="O85" i="1"/>
  <c r="P85" i="1" s="1"/>
  <c r="U81" i="1"/>
  <c r="U101" i="1"/>
  <c r="V101" i="1" s="1"/>
  <c r="U58" i="1"/>
  <c r="AD58" i="1"/>
  <c r="X58" i="1"/>
  <c r="Y58" i="1" s="1"/>
  <c r="AD69" i="1"/>
  <c r="X69" i="1"/>
  <c r="Y69" i="1" s="1"/>
  <c r="U69" i="1"/>
  <c r="R69" i="1"/>
  <c r="O69" i="1"/>
  <c r="AM87" i="1"/>
  <c r="R33" i="1"/>
  <c r="AD33" i="1"/>
  <c r="X33" i="1"/>
  <c r="Y33" i="1" s="1"/>
  <c r="O33" i="1"/>
  <c r="AP148" i="1"/>
  <c r="AQ148" i="1" s="1"/>
  <c r="AA17" i="1"/>
  <c r="AB17" i="1" s="1"/>
  <c r="R29" i="1"/>
  <c r="AD29" i="1"/>
  <c r="X29" i="1"/>
  <c r="Y29" i="1" s="1"/>
  <c r="AM138" i="1"/>
  <c r="AN138" i="1" s="1"/>
  <c r="AP97" i="1"/>
  <c r="AQ97" i="1" s="1"/>
  <c r="AD44" i="1"/>
  <c r="X44" i="1"/>
  <c r="Y44" i="1" s="1"/>
  <c r="R44" i="1"/>
  <c r="S44" i="1" s="1"/>
  <c r="U44" i="1"/>
  <c r="V44" i="1" s="1"/>
  <c r="O44" i="1"/>
  <c r="P44" i="1" s="1"/>
  <c r="U124" i="1"/>
  <c r="X124" i="1"/>
  <c r="AD124" i="1"/>
  <c r="R124" i="1"/>
  <c r="S124" i="1" s="1"/>
  <c r="AA89" i="1"/>
  <c r="AB89" i="1" s="1"/>
  <c r="AA98" i="1"/>
  <c r="R183" i="1"/>
  <c r="AD183" i="1"/>
  <c r="X183" i="1"/>
  <c r="R156" i="1"/>
  <c r="X156" i="1"/>
  <c r="Y156" i="1" s="1"/>
  <c r="AD156" i="1"/>
  <c r="AM139" i="1"/>
  <c r="AN139" i="1" s="1"/>
  <c r="AM114" i="1"/>
  <c r="AN114" i="1" s="1"/>
  <c r="AM179" i="1"/>
  <c r="U103" i="1"/>
  <c r="AD103" i="1"/>
  <c r="X103" i="1"/>
  <c r="Y103" i="1" s="1"/>
  <c r="O20" i="1"/>
  <c r="AD20" i="1"/>
  <c r="X20" i="1"/>
  <c r="Y20" i="1" s="1"/>
  <c r="U20" i="1"/>
  <c r="R20" i="1"/>
  <c r="L175" i="1"/>
  <c r="AA175" i="1" s="1"/>
  <c r="AJ175" i="1"/>
  <c r="L14" i="1"/>
  <c r="AA14" i="1" s="1"/>
  <c r="AB14" i="1" s="1"/>
  <c r="AJ14" i="1"/>
  <c r="AK14" i="1" s="1"/>
  <c r="L79" i="1"/>
  <c r="O79" i="1" s="1"/>
  <c r="P79" i="1" s="1"/>
  <c r="AJ79" i="1"/>
  <c r="AK79" i="1" s="1"/>
  <c r="L59" i="1"/>
  <c r="AM59" i="1" s="1"/>
  <c r="AN59" i="1" s="1"/>
  <c r="AJ59" i="1"/>
  <c r="AK59" i="1" s="1"/>
  <c r="L34" i="1"/>
  <c r="R34" i="1" s="1"/>
  <c r="AJ34" i="1"/>
  <c r="AK34" i="1" s="1"/>
  <c r="L171" i="1"/>
  <c r="AM171" i="1" s="1"/>
  <c r="AN171" i="1" s="1"/>
  <c r="L146" i="1"/>
  <c r="AA146" i="1" s="1"/>
  <c r="AJ146" i="1"/>
  <c r="AK146" i="1" s="1"/>
  <c r="L95" i="1"/>
  <c r="AM95" i="1" s="1"/>
  <c r="AN95" i="1" s="1"/>
  <c r="AP95" i="1"/>
  <c r="AQ95" i="1" s="1"/>
  <c r="AJ95" i="1"/>
  <c r="AK95" i="1" s="1"/>
  <c r="L96" i="1"/>
  <c r="AP96" i="1" s="1"/>
  <c r="AQ96" i="1" s="1"/>
  <c r="AJ96" i="1"/>
  <c r="AK96" i="1" s="1"/>
  <c r="L35" i="1"/>
  <c r="AM35" i="1" s="1"/>
  <c r="AN35" i="1" s="1"/>
  <c r="AJ35" i="1"/>
  <c r="AK35" i="1" s="1"/>
  <c r="L107" i="1"/>
  <c r="R107" i="1" s="1"/>
  <c r="L78" i="1"/>
  <c r="AP78" i="1" s="1"/>
  <c r="AQ78" i="1" s="1"/>
  <c r="AJ78" i="1"/>
  <c r="AK78" i="1" s="1"/>
  <c r="L104" i="1"/>
  <c r="AA104" i="1" s="1"/>
  <c r="AB104" i="1" s="1"/>
  <c r="AJ104" i="1"/>
  <c r="AK104" i="1" s="1"/>
  <c r="O17" i="1"/>
  <c r="L128" i="1"/>
  <c r="AP128" i="1" s="1"/>
  <c r="AQ128" i="1" s="1"/>
  <c r="AJ128" i="1"/>
  <c r="AK128" i="1" s="1"/>
  <c r="AJ134" i="1"/>
  <c r="AK134" i="1" s="1"/>
  <c r="AP134" i="1"/>
  <c r="AQ134" i="1" s="1"/>
  <c r="AA134" i="1"/>
  <c r="AB134" i="1" s="1"/>
  <c r="AM134" i="1"/>
  <c r="AN134" i="1" s="1"/>
  <c r="O156" i="1"/>
  <c r="L115" i="1"/>
  <c r="AP115" i="1" s="1"/>
  <c r="AQ115" i="1" s="1"/>
  <c r="AJ115" i="1"/>
  <c r="AK115" i="1" s="1"/>
  <c r="O89" i="1"/>
  <c r="AM38" i="1"/>
  <c r="AN38" i="1" s="1"/>
  <c r="AP38" i="1"/>
  <c r="AQ38" i="1" s="1"/>
  <c r="AJ38" i="1"/>
  <c r="AK38" i="1" s="1"/>
  <c r="AA38" i="1"/>
  <c r="AM39" i="1"/>
  <c r="AN39" i="1" s="1"/>
  <c r="AP39" i="1"/>
  <c r="AQ39" i="1" s="1"/>
  <c r="AJ39" i="1"/>
  <c r="AK39" i="1" s="1"/>
  <c r="AA39" i="1"/>
  <c r="U163" i="1"/>
  <c r="R105" i="1"/>
  <c r="R101" i="1"/>
  <c r="S101" i="1" s="1"/>
  <c r="O32" i="1"/>
  <c r="AD32" i="1"/>
  <c r="X32" i="1"/>
  <c r="Y32" i="1" s="1"/>
  <c r="AP87" i="1"/>
  <c r="AQ87" i="1" s="1"/>
  <c r="AM17" i="1"/>
  <c r="AN17" i="1" s="1"/>
  <c r="O12" i="1"/>
  <c r="AD12" i="1"/>
  <c r="X12" i="1"/>
  <c r="Y12" i="1" s="1"/>
  <c r="R12" i="1"/>
  <c r="U12" i="1"/>
  <c r="AA32" i="1"/>
  <c r="AB32" i="1" s="1"/>
  <c r="AD75" i="1"/>
  <c r="X75" i="1"/>
  <c r="Y75" i="1" s="1"/>
  <c r="AP85" i="1"/>
  <c r="AQ85" i="1" s="1"/>
  <c r="AA184" i="1"/>
  <c r="AB184" i="1" s="1"/>
  <c r="U147" i="1"/>
  <c r="AD147" i="1"/>
  <c r="X147" i="1"/>
  <c r="Y147" i="1" s="1"/>
  <c r="AP98" i="1"/>
  <c r="AQ98" i="1" s="1"/>
  <c r="AP101" i="1"/>
  <c r="AQ101" i="1" s="1"/>
  <c r="AP139" i="1"/>
  <c r="AQ139" i="1" s="1"/>
  <c r="AE116" i="1"/>
  <c r="AG116" i="1"/>
  <c r="AH116" i="1" s="1"/>
  <c r="AP179" i="1"/>
  <c r="AQ179" i="1" s="1"/>
  <c r="AM7" i="1"/>
  <c r="AN7" i="1" s="1"/>
  <c r="AE67" i="1"/>
  <c r="AG67" i="1"/>
  <c r="AH67" i="1" s="1"/>
  <c r="R3" i="1"/>
  <c r="S3" i="1" s="1"/>
  <c r="X3" i="1"/>
  <c r="Y3" i="1" s="1"/>
  <c r="AD3" i="1"/>
  <c r="U91" i="1"/>
  <c r="AD91" i="1"/>
  <c r="X91" i="1"/>
  <c r="Y91" i="1" s="1"/>
  <c r="U43" i="1"/>
  <c r="V43" i="1" s="1"/>
  <c r="AD43" i="1"/>
  <c r="X43" i="1"/>
  <c r="Y43" i="1" s="1"/>
  <c r="L62" i="1"/>
  <c r="AA62" i="1" s="1"/>
  <c r="AB62" i="1" s="1"/>
  <c r="AJ62" i="1"/>
  <c r="AK62" i="1" s="1"/>
  <c r="R148" i="1"/>
  <c r="AD148" i="1"/>
  <c r="X148" i="1"/>
  <c r="U148" i="1"/>
  <c r="L145" i="1"/>
  <c r="O145" i="1" s="1"/>
  <c r="AJ145" i="1"/>
  <c r="AK145" i="1" s="1"/>
  <c r="L143" i="1"/>
  <c r="AA143" i="1" s="1"/>
  <c r="AB143" i="1" s="1"/>
  <c r="AJ143" i="1"/>
  <c r="AJ88" i="1"/>
  <c r="AK88" i="1" s="1"/>
  <c r="L94" i="1"/>
  <c r="AM94" i="1" s="1"/>
  <c r="AN94" i="1" s="1"/>
  <c r="AP94" i="1"/>
  <c r="AQ94" i="1" s="1"/>
  <c r="AJ94" i="1"/>
  <c r="AK94" i="1" s="1"/>
  <c r="O141" i="1"/>
  <c r="L56" i="1"/>
  <c r="AM56" i="1" s="1"/>
  <c r="AN56" i="1" s="1"/>
  <c r="AJ56" i="1"/>
  <c r="U22" i="1"/>
  <c r="X22" i="1"/>
  <c r="Y22" i="1" s="1"/>
  <c r="AD22" i="1"/>
  <c r="L100" i="1"/>
  <c r="AA100" i="1" s="1"/>
  <c r="AJ100" i="1"/>
  <c r="AJ8" i="1"/>
  <c r="AK8" i="1" s="1"/>
  <c r="O43" i="1"/>
  <c r="P43" i="1" s="1"/>
  <c r="AM15" i="1"/>
  <c r="AN15" i="1" s="1"/>
  <c r="AP15" i="1"/>
  <c r="AQ15" i="1" s="1"/>
  <c r="AJ15" i="1"/>
  <c r="AK15" i="1" s="1"/>
  <c r="AA15" i="1"/>
  <c r="AB15" i="1" s="1"/>
  <c r="U141" i="1"/>
  <c r="L112" i="1"/>
  <c r="AM112" i="1" s="1"/>
  <c r="AN112" i="1" s="1"/>
  <c r="AP112" i="1"/>
  <c r="AJ112" i="1"/>
  <c r="AK112" i="1" s="1"/>
  <c r="AE166" i="1"/>
  <c r="AG166" i="1"/>
  <c r="AH166" i="1" s="1"/>
  <c r="X81" i="1"/>
  <c r="Y81" i="1" s="1"/>
  <c r="AD81" i="1"/>
  <c r="L60" i="1"/>
  <c r="AP60" i="1" s="1"/>
  <c r="AQ60" i="1" s="1"/>
  <c r="AJ60" i="1"/>
  <c r="AK60" i="1" s="1"/>
  <c r="L28" i="1"/>
  <c r="AP28" i="1" s="1"/>
  <c r="AQ28" i="1" s="1"/>
  <c r="AJ28" i="1"/>
  <c r="AK28" i="1" s="1"/>
  <c r="L82" i="1"/>
  <c r="AM82" i="1" s="1"/>
  <c r="AN82" i="1" s="1"/>
  <c r="AJ82" i="1"/>
  <c r="AP82" i="1"/>
  <c r="L113" i="1"/>
  <c r="U113" i="1" s="1"/>
  <c r="AJ113" i="1"/>
  <c r="AK113" i="1" s="1"/>
  <c r="L90" i="1"/>
  <c r="AP90" i="1" s="1"/>
  <c r="AQ90" i="1" s="1"/>
  <c r="AJ90" i="1"/>
  <c r="AK90" i="1" s="1"/>
  <c r="AP43" i="1"/>
  <c r="AQ43" i="1" s="1"/>
  <c r="AA43" i="1"/>
  <c r="AB43" i="1" s="1"/>
  <c r="AJ43" i="1"/>
  <c r="AK43" i="1" s="1"/>
  <c r="AM43" i="1"/>
  <c r="AN43" i="1" s="1"/>
  <c r="L83" i="1"/>
  <c r="AM83" i="1" s="1"/>
  <c r="AN83" i="1" s="1"/>
  <c r="AJ83" i="1"/>
  <c r="AK83" i="1" s="1"/>
  <c r="L131" i="1"/>
  <c r="AA131" i="1" s="1"/>
  <c r="AB131" i="1" s="1"/>
  <c r="AM131" i="1"/>
  <c r="AN131" i="1" s="1"/>
  <c r="AJ131" i="1"/>
  <c r="AK131" i="1" s="1"/>
  <c r="AJ117" i="1"/>
  <c r="AK117" i="1" s="1"/>
  <c r="U11" i="1"/>
  <c r="AD11" i="1"/>
  <c r="X11" i="1"/>
  <c r="Y11" i="1" s="1"/>
  <c r="R11" i="1"/>
  <c r="O11" i="1"/>
  <c r="U51" i="1"/>
  <c r="AD51" i="1"/>
  <c r="X51" i="1"/>
  <c r="Y51" i="1" s="1"/>
  <c r="O41" i="1"/>
  <c r="AD41" i="1"/>
  <c r="X41" i="1"/>
  <c r="Y41" i="1" s="1"/>
  <c r="L106" i="1"/>
  <c r="AP106" i="1" s="1"/>
  <c r="AQ106" i="1" s="1"/>
  <c r="AJ106" i="1"/>
  <c r="AK106" i="1" s="1"/>
  <c r="L88" i="1"/>
  <c r="AP88" i="1" s="1"/>
  <c r="AQ88" i="1" s="1"/>
  <c r="L153" i="1"/>
  <c r="AM153" i="1" s="1"/>
  <c r="AN153" i="1" s="1"/>
  <c r="AJ153" i="1"/>
  <c r="L45" i="1"/>
  <c r="AM45" i="1" s="1"/>
  <c r="AN45" i="1" s="1"/>
  <c r="AP45" i="1"/>
  <c r="AQ45" i="1" s="1"/>
  <c r="AJ45" i="1"/>
  <c r="AK45" i="1" s="1"/>
  <c r="L80" i="1"/>
  <c r="AA80" i="1" s="1"/>
  <c r="AB80" i="1" s="1"/>
  <c r="AP73" i="1"/>
  <c r="AM73" i="1"/>
  <c r="AN73" i="1" s="1"/>
  <c r="AJ73" i="1"/>
  <c r="AA73" i="1"/>
  <c r="AB73" i="1" s="1"/>
  <c r="L192" i="1"/>
  <c r="O192" i="1" s="1"/>
  <c r="P192" i="1" s="1"/>
  <c r="AJ192" i="1"/>
  <c r="O134" i="1"/>
  <c r="O136" i="1"/>
  <c r="L181" i="1"/>
  <c r="AP181" i="1" s="1"/>
  <c r="AQ181" i="1" s="1"/>
  <c r="AJ181" i="1"/>
  <c r="AK181" i="1" s="1"/>
  <c r="L27" i="1"/>
  <c r="AA27" i="1" s="1"/>
  <c r="AB27" i="1" s="1"/>
  <c r="AP27" i="1"/>
  <c r="AQ27" i="1" s="1"/>
  <c r="AJ27" i="1"/>
  <c r="AK27" i="1" s="1"/>
  <c r="U138" i="1"/>
  <c r="U85" i="1"/>
  <c r="V85" i="1" s="1"/>
  <c r="L13" i="1"/>
  <c r="AJ13" i="1"/>
  <c r="AK13" i="1" s="1"/>
  <c r="O139" i="1"/>
  <c r="AP158" i="1"/>
  <c r="AQ158" i="1" s="1"/>
  <c r="AJ158" i="1"/>
  <c r="AK158" i="1" s="1"/>
  <c r="AA158" i="1"/>
  <c r="AB158" i="1" s="1"/>
  <c r="AM158" i="1"/>
  <c r="AN158" i="1" s="1"/>
  <c r="L55" i="1"/>
  <c r="AA55" i="1" s="1"/>
  <c r="AB55" i="1" s="1"/>
  <c r="AJ55" i="1"/>
  <c r="AK55" i="1" s="1"/>
  <c r="L50" i="1"/>
  <c r="AM50" i="1" s="1"/>
  <c r="AN50" i="1" s="1"/>
  <c r="AJ50" i="1"/>
  <c r="AK50" i="1" s="1"/>
  <c r="AP141" i="1"/>
  <c r="AJ141" i="1"/>
  <c r="AK141" i="1" s="1"/>
  <c r="AM141" i="1"/>
  <c r="AN141" i="1" s="1"/>
  <c r="AA141" i="1"/>
  <c r="AB141" i="1" s="1"/>
  <c r="O81" i="1"/>
  <c r="AG154" i="1"/>
  <c r="AH154" i="1" s="1"/>
  <c r="AE154" i="1"/>
  <c r="AP58" i="1"/>
  <c r="AQ58" i="1" s="1"/>
  <c r="U109" i="1"/>
  <c r="AD109" i="1"/>
  <c r="X109" i="1"/>
  <c r="Y109" i="1" s="1"/>
  <c r="AA148" i="1"/>
  <c r="AB148" i="1" s="1"/>
  <c r="AP29" i="1"/>
  <c r="AQ29" i="1" s="1"/>
  <c r="AP138" i="1"/>
  <c r="AQ138" i="1" s="1"/>
  <c r="AM85" i="1"/>
  <c r="AN85" i="1" s="1"/>
  <c r="AD191" i="1"/>
  <c r="X191" i="1"/>
  <c r="Y191" i="1" s="1"/>
  <c r="O191" i="1"/>
  <c r="P191" i="1" s="1"/>
  <c r="R191" i="1"/>
  <c r="U191" i="1"/>
  <c r="O21" i="1"/>
  <c r="AD21" i="1"/>
  <c r="X21" i="1"/>
  <c r="Y21" i="1" s="1"/>
  <c r="AD53" i="1"/>
  <c r="X53" i="1"/>
  <c r="Y53" i="1" s="1"/>
  <c r="AD167" i="1"/>
  <c r="X167" i="1"/>
  <c r="Y167" i="1" s="1"/>
  <c r="L151" i="1"/>
  <c r="R151" i="1" s="1"/>
  <c r="AJ151" i="1"/>
  <c r="AK151" i="1" s="1"/>
  <c r="L126" i="1"/>
  <c r="AM126" i="1" s="1"/>
  <c r="AN126" i="1" s="1"/>
  <c r="AJ126" i="1"/>
  <c r="AK126" i="1" s="1"/>
  <c r="U15" i="1"/>
  <c r="AD15" i="1"/>
  <c r="X15" i="1"/>
  <c r="Y15" i="1" s="1"/>
  <c r="L129" i="1"/>
  <c r="AP129" i="1" s="1"/>
  <c r="AQ129" i="1" s="1"/>
  <c r="AM129" i="1"/>
  <c r="AN129" i="1" s="1"/>
  <c r="AJ129" i="1"/>
  <c r="L169" i="1"/>
  <c r="O169" i="1" s="1"/>
  <c r="AJ169" i="1"/>
  <c r="AK169" i="1" s="1"/>
  <c r="L68" i="1"/>
  <c r="AA68" i="1" s="1"/>
  <c r="AB68" i="1" s="1"/>
  <c r="AM68" i="1"/>
  <c r="AN68" i="1" s="1"/>
  <c r="AJ68" i="1"/>
  <c r="AK68" i="1" s="1"/>
  <c r="L57" i="1"/>
  <c r="AP57" i="1" s="1"/>
  <c r="AQ57" i="1" s="1"/>
  <c r="AJ57" i="1"/>
  <c r="AK57" i="1" s="1"/>
  <c r="AD87" i="1"/>
  <c r="X87" i="1"/>
  <c r="Y87" i="1" s="1"/>
  <c r="O97" i="1"/>
  <c r="AD97" i="1"/>
  <c r="X97" i="1"/>
  <c r="Y97" i="1" s="1"/>
  <c r="U97" i="1"/>
  <c r="R97" i="1"/>
  <c r="O114" i="1"/>
  <c r="X114" i="1"/>
  <c r="Y114" i="1" s="1"/>
  <c r="AD114" i="1"/>
  <c r="R114" i="1"/>
  <c r="U114" i="1"/>
  <c r="R73" i="1"/>
  <c r="X73" i="1"/>
  <c r="Y73" i="1" s="1"/>
  <c r="AD73" i="1"/>
  <c r="L118" i="1"/>
  <c r="AA118" i="1" s="1"/>
  <c r="AB118" i="1" s="1"/>
  <c r="AJ118" i="1"/>
  <c r="AK118" i="1" s="1"/>
  <c r="L142" i="1"/>
  <c r="AP142" i="1" s="1"/>
  <c r="AQ142" i="1" s="1"/>
  <c r="L49" i="1"/>
  <c r="AA49" i="1" s="1"/>
  <c r="AB49" i="1" s="1"/>
  <c r="AJ49" i="1"/>
  <c r="AK49" i="1" s="1"/>
  <c r="AM49" i="1"/>
  <c r="AN49" i="1" s="1"/>
  <c r="L46" i="1"/>
  <c r="AA46" i="1" s="1"/>
  <c r="AB46" i="1" s="1"/>
  <c r="AJ46" i="1"/>
  <c r="AK46" i="1" s="1"/>
  <c r="AJ6" i="1"/>
  <c r="AK6" i="1" s="1"/>
  <c r="AP6" i="1"/>
  <c r="AQ6" i="1" s="1"/>
  <c r="AM6" i="1"/>
  <c r="AN6" i="1" s="1"/>
  <c r="AA6" i="1"/>
  <c r="AM91" i="1"/>
  <c r="AN91" i="1" s="1"/>
  <c r="AP91" i="1"/>
  <c r="AQ91" i="1" s="1"/>
  <c r="AJ91" i="1"/>
  <c r="AK91" i="1" s="1"/>
  <c r="AA91" i="1"/>
  <c r="AB91" i="1" s="1"/>
  <c r="L161" i="1"/>
  <c r="AP161" i="1" s="1"/>
  <c r="AM161" i="1"/>
  <c r="AN161" i="1" s="1"/>
  <c r="AJ161" i="1"/>
  <c r="R138" i="1"/>
  <c r="O87" i="1"/>
  <c r="P87" i="1" s="1"/>
  <c r="U105" i="1"/>
  <c r="X105" i="1"/>
  <c r="Y105" i="1" s="1"/>
  <c r="AD105" i="1"/>
  <c r="O105" i="1"/>
  <c r="P105" i="1" s="1"/>
  <c r="AE120" i="1"/>
  <c r="AR120" i="1" s="1"/>
  <c r="AG120" i="1"/>
  <c r="AH120" i="1" s="1"/>
  <c r="AG177" i="1"/>
  <c r="AH177" i="1" s="1"/>
  <c r="AE177" i="1"/>
  <c r="AR177" i="1" s="1"/>
  <c r="AD7" i="1"/>
  <c r="X7" i="1"/>
  <c r="Y7" i="1" s="1"/>
  <c r="R39" i="1"/>
  <c r="X39" i="1"/>
  <c r="Y39" i="1" s="1"/>
  <c r="AD39" i="1"/>
  <c r="L149" i="1"/>
  <c r="AM149" i="1" s="1"/>
  <c r="AN149" i="1" s="1"/>
  <c r="AP149" i="1"/>
  <c r="AQ149" i="1" s="1"/>
  <c r="AA149" i="1"/>
  <c r="AJ149" i="1"/>
  <c r="AK149" i="1" s="1"/>
  <c r="U38" i="1"/>
  <c r="X38" i="1"/>
  <c r="Y38" i="1" s="1"/>
  <c r="AD38" i="1"/>
  <c r="AJ42" i="1"/>
  <c r="AK42" i="1" s="1"/>
  <c r="R139" i="1"/>
  <c r="AE152" i="1"/>
  <c r="AG152" i="1"/>
  <c r="AH152" i="1" s="1"/>
  <c r="L72" i="1"/>
  <c r="O72" i="1" s="1"/>
  <c r="AJ72" i="1"/>
  <c r="AK72" i="1" s="1"/>
  <c r="L42" i="1"/>
  <c r="AP42" i="1" s="1"/>
  <c r="AQ42" i="1" s="1"/>
  <c r="L150" i="1"/>
  <c r="AA150" i="1" s="1"/>
  <c r="AJ150" i="1"/>
  <c r="L48" i="1"/>
  <c r="O48" i="1" s="1"/>
  <c r="P48" i="1" s="1"/>
  <c r="AJ48" i="1"/>
  <c r="AK48" i="1" s="1"/>
  <c r="AP137" i="1"/>
  <c r="AQ137" i="1" s="1"/>
  <c r="AM137" i="1"/>
  <c r="AN137" i="1" s="1"/>
  <c r="AJ137" i="1"/>
  <c r="AA137" i="1"/>
  <c r="L187" i="1"/>
  <c r="AJ187" i="1"/>
  <c r="AK187" i="1" s="1"/>
  <c r="R141" i="1"/>
  <c r="R7" i="1"/>
  <c r="R163" i="1"/>
  <c r="AD163" i="1"/>
  <c r="X163" i="1"/>
  <c r="Y163" i="1" s="1"/>
  <c r="O163" i="1"/>
  <c r="P163" i="1" s="1"/>
  <c r="AD24" i="1"/>
  <c r="X24" i="1"/>
  <c r="Y24" i="1" s="1"/>
  <c r="U24" i="1"/>
  <c r="O24" i="1"/>
  <c r="R24" i="1"/>
  <c r="R65" i="1"/>
  <c r="AD65" i="1"/>
  <c r="X65" i="1"/>
  <c r="Y65" i="1" s="1"/>
  <c r="O65" i="1"/>
  <c r="L110" i="1"/>
  <c r="AM110" i="1" s="1"/>
  <c r="AN110" i="1" s="1"/>
  <c r="L133" i="1"/>
  <c r="AA133" i="1" s="1"/>
  <c r="AB133" i="1" s="1"/>
  <c r="AP133" i="1"/>
  <c r="AQ133" i="1" s="1"/>
  <c r="AJ133" i="1"/>
  <c r="AK133" i="1" s="1"/>
  <c r="L71" i="1"/>
  <c r="AA71" i="1" s="1"/>
  <c r="AB71" i="1" s="1"/>
  <c r="AJ71" i="1"/>
  <c r="AK71" i="1" s="1"/>
  <c r="L132" i="1"/>
  <c r="AJ132" i="1"/>
  <c r="AK132" i="1" s="1"/>
  <c r="L121" i="1"/>
  <c r="AA121" i="1" s="1"/>
  <c r="AB121" i="1" s="1"/>
  <c r="AJ121" i="1"/>
  <c r="AK121" i="1" s="1"/>
  <c r="L155" i="1"/>
  <c r="R155" i="1" s="1"/>
  <c r="AJ155" i="1"/>
  <c r="L61" i="1"/>
  <c r="AM61" i="1" s="1"/>
  <c r="AN61" i="1" s="1"/>
  <c r="AJ61" i="1"/>
  <c r="AK61" i="1" s="1"/>
  <c r="L168" i="1"/>
  <c r="AA168" i="1" s="1"/>
  <c r="AB168" i="1" s="1"/>
  <c r="AJ168" i="1"/>
  <c r="AK168" i="1" s="1"/>
  <c r="L8" i="1"/>
  <c r="AM8" i="1" s="1"/>
  <c r="AN8" i="1" s="1"/>
  <c r="L52" i="1"/>
  <c r="AP52" i="1" s="1"/>
  <c r="AQ52" i="1" s="1"/>
  <c r="AJ52" i="1"/>
  <c r="AK52" i="1" s="1"/>
  <c r="AM52" i="1"/>
  <c r="AN52" i="1" s="1"/>
  <c r="L165" i="1"/>
  <c r="AA165" i="1" s="1"/>
  <c r="AB165" i="1" s="1"/>
  <c r="AJ165" i="1"/>
  <c r="AK165" i="1" s="1"/>
  <c r="L93" i="1"/>
  <c r="AA93" i="1" s="1"/>
  <c r="AB93" i="1" s="1"/>
  <c r="AJ93" i="1"/>
  <c r="AK93" i="1" s="1"/>
  <c r="U158" i="1"/>
  <c r="X158" i="1"/>
  <c r="AD158" i="1"/>
  <c r="L117" i="1"/>
  <c r="AA117" i="1" s="1"/>
  <c r="AB117" i="1" s="1"/>
  <c r="L123" i="1"/>
  <c r="AA123" i="1" s="1"/>
  <c r="AB123" i="1" s="1"/>
  <c r="AJ123" i="1"/>
  <c r="AK123" i="1" s="1"/>
  <c r="AJ22" i="1"/>
  <c r="AK22" i="1" s="1"/>
  <c r="AP22" i="1"/>
  <c r="AQ22" i="1" s="1"/>
  <c r="AM22" i="1"/>
  <c r="AN22" i="1" s="1"/>
  <c r="AA22" i="1"/>
  <c r="AB22" i="1" s="1"/>
  <c r="O148" i="1"/>
  <c r="R134" i="1"/>
  <c r="L70" i="1"/>
  <c r="AP70" i="1" s="1"/>
  <c r="AQ70" i="1" s="1"/>
  <c r="AJ70" i="1"/>
  <c r="AK70" i="1" s="1"/>
  <c r="AM136" i="1"/>
  <c r="AN136" i="1" s="1"/>
  <c r="AP136" i="1"/>
  <c r="AQ136" i="1" s="1"/>
  <c r="AJ136" i="1"/>
  <c r="AK136" i="1" s="1"/>
  <c r="AA136" i="1"/>
  <c r="AB136" i="1" s="1"/>
  <c r="L102" i="1"/>
  <c r="AA102" i="1" s="1"/>
  <c r="AB102" i="1" s="1"/>
  <c r="AJ102" i="1"/>
  <c r="AK102" i="1" s="1"/>
  <c r="L54" i="1"/>
  <c r="AM54" i="1" s="1"/>
  <c r="AN54" i="1" s="1"/>
  <c r="AP54" i="1"/>
  <c r="AJ54" i="1"/>
  <c r="L84" i="1"/>
  <c r="O84" i="1" s="1"/>
  <c r="AJ84" i="1"/>
  <c r="AK84" i="1" s="1"/>
  <c r="U33" i="1"/>
  <c r="O29" i="1"/>
  <c r="R81" i="1"/>
  <c r="O101" i="1"/>
  <c r="P101" i="1" s="1"/>
  <c r="AM58" i="1"/>
  <c r="AN58" i="1" s="1"/>
  <c r="AA105" i="1"/>
  <c r="AB105" i="1" s="1"/>
  <c r="AP69" i="1"/>
  <c r="AQ69" i="1" s="1"/>
  <c r="AA87" i="1"/>
  <c r="AB87" i="1" s="1"/>
  <c r="O160" i="1"/>
  <c r="X160" i="1"/>
  <c r="Y160" i="1" s="1"/>
  <c r="AD160" i="1"/>
  <c r="U160" i="1"/>
  <c r="R160" i="1"/>
  <c r="AP33" i="1"/>
  <c r="AQ33" i="1" s="1"/>
  <c r="AD173" i="1"/>
  <c r="X173" i="1"/>
  <c r="Y173" i="1" s="1"/>
  <c r="R173" i="1"/>
  <c r="O173" i="1"/>
  <c r="P173" i="1" s="1"/>
  <c r="U173" i="1"/>
  <c r="X76" i="1"/>
  <c r="Y76" i="1" s="1"/>
  <c r="AD76" i="1"/>
  <c r="AM29" i="1"/>
  <c r="AN29" i="1" s="1"/>
  <c r="AA138" i="1"/>
  <c r="AB138" i="1" s="1"/>
  <c r="AA97" i="1"/>
  <c r="U40" i="1"/>
  <c r="X40" i="1"/>
  <c r="Y40" i="1" s="1"/>
  <c r="AD40" i="1"/>
  <c r="AM44" i="1"/>
  <c r="AN44" i="1" s="1"/>
  <c r="AA85" i="1"/>
  <c r="AB85" i="1" s="1"/>
  <c r="AP124" i="1"/>
  <c r="AQ124" i="1" s="1"/>
  <c r="R74" i="1"/>
  <c r="AD74" i="1"/>
  <c r="X74" i="1"/>
  <c r="Y74" i="1" s="1"/>
  <c r="AM183" i="1"/>
  <c r="AA101" i="1"/>
  <c r="AB101" i="1" s="1"/>
  <c r="AA139" i="1"/>
  <c r="AB139" i="1" s="1"/>
  <c r="AA114" i="1"/>
  <c r="AB114" i="1" s="1"/>
  <c r="AD63" i="1"/>
  <c r="X63" i="1"/>
  <c r="Y63" i="1" s="1"/>
  <c r="R63" i="1"/>
  <c r="O63" i="1"/>
  <c r="U63" i="1"/>
  <c r="AA179" i="1"/>
  <c r="AB179" i="1" s="1"/>
  <c r="AP103" i="1"/>
  <c r="AQ103" i="1" s="1"/>
  <c r="AA7" i="1"/>
  <c r="AB7" i="1" s="1"/>
  <c r="AM156" i="1"/>
  <c r="AN156" i="1" s="1"/>
  <c r="AM20" i="1"/>
  <c r="AN20" i="1" s="1"/>
  <c r="AD36" i="1"/>
  <c r="X36" i="1"/>
  <c r="Y36" i="1" s="1"/>
  <c r="U25" i="1"/>
  <c r="R25" i="1"/>
  <c r="U169" i="1"/>
  <c r="R169" i="1"/>
  <c r="O54" i="1"/>
  <c r="O56" i="1"/>
  <c r="R136" i="1"/>
  <c r="K186" i="1"/>
  <c r="L186" i="1" s="1"/>
  <c r="U119" i="1"/>
  <c r="O137" i="1"/>
  <c r="U47" i="1"/>
  <c r="V47" i="1" s="1"/>
  <c r="O37" i="1"/>
  <c r="P37" i="1" s="1"/>
  <c r="U39" i="1"/>
  <c r="O158" i="1"/>
  <c r="R95" i="1"/>
  <c r="K170" i="1"/>
  <c r="R8" i="1"/>
  <c r="R43" i="1"/>
  <c r="S43" i="1" s="1"/>
  <c r="R137" i="1"/>
  <c r="R47" i="1"/>
  <c r="S47" i="1" s="1"/>
  <c r="R37" i="1"/>
  <c r="S37" i="1" s="1"/>
  <c r="R78" i="1"/>
  <c r="O15" i="1"/>
  <c r="R158" i="1"/>
  <c r="O80" i="1"/>
  <c r="R91" i="1"/>
  <c r="U8" i="1"/>
  <c r="O38" i="1"/>
  <c r="P38" i="1" s="1"/>
  <c r="R15" i="1"/>
  <c r="U149" i="1"/>
  <c r="K190" i="1"/>
  <c r="O91" i="1"/>
  <c r="K92" i="1"/>
  <c r="K159" i="1"/>
  <c r="K164" i="1"/>
  <c r="K162" i="1"/>
  <c r="K66" i="1"/>
  <c r="L66" i="1" s="1"/>
  <c r="K174" i="1"/>
  <c r="O22" i="1"/>
  <c r="O149" i="1"/>
  <c r="P149" i="1" s="1"/>
  <c r="R38" i="1"/>
  <c r="R93" i="1"/>
  <c r="R22" i="1"/>
  <c r="R80" i="1"/>
  <c r="K30" i="1"/>
  <c r="K9" i="1"/>
  <c r="K5" i="1"/>
  <c r="L5" i="1" s="1"/>
  <c r="U5" i="1" s="1"/>
  <c r="K182" i="1"/>
  <c r="L182" i="1" s="1"/>
  <c r="O182" i="1" s="1"/>
  <c r="K18" i="1"/>
  <c r="K180" i="1"/>
  <c r="K188" i="1"/>
  <c r="K16" i="1"/>
  <c r="K26" i="1"/>
  <c r="K77" i="1"/>
  <c r="K111" i="1"/>
  <c r="O35" i="1" l="1"/>
  <c r="AP153" i="1"/>
  <c r="AQ153" i="1" s="1"/>
  <c r="AP62" i="1"/>
  <c r="AQ62" i="1" s="1"/>
  <c r="AM78" i="1"/>
  <c r="AN78" i="1" s="1"/>
  <c r="U146" i="1"/>
  <c r="O78" i="1"/>
  <c r="AP71" i="1"/>
  <c r="AQ71" i="1" s="1"/>
  <c r="AA35" i="1"/>
  <c r="AB35" i="1" s="1"/>
  <c r="R35" i="1"/>
  <c r="R171" i="1"/>
  <c r="AM27" i="1"/>
  <c r="AN27" i="1" s="1"/>
  <c r="AP192" i="1"/>
  <c r="AA45" i="1"/>
  <c r="AB45" i="1" s="1"/>
  <c r="AA94" i="1"/>
  <c r="AB94" i="1" s="1"/>
  <c r="AP35" i="1"/>
  <c r="AQ35" i="1" s="1"/>
  <c r="AA79" i="1"/>
  <c r="AB79" i="1" s="1"/>
  <c r="R125" i="1"/>
  <c r="R113" i="1"/>
  <c r="U54" i="1"/>
  <c r="AP121" i="1"/>
  <c r="AQ121" i="1" s="1"/>
  <c r="AP72" i="1"/>
  <c r="AQ72" i="1" s="1"/>
  <c r="AP131" i="1"/>
  <c r="AQ131" i="1" s="1"/>
  <c r="AP104" i="1"/>
  <c r="AQ104" i="1" s="1"/>
  <c r="AP144" i="1"/>
  <c r="AQ144" i="1" s="1"/>
  <c r="O125" i="1"/>
  <c r="U55" i="1"/>
  <c r="AG97" i="1"/>
  <c r="AH97" i="1" s="1"/>
  <c r="AE97" i="1"/>
  <c r="AM127" i="1"/>
  <c r="AN127" i="1" s="1"/>
  <c r="O185" i="1"/>
  <c r="P185" i="1" s="1"/>
  <c r="O34" i="1"/>
  <c r="AR97" i="1"/>
  <c r="AP100" i="1"/>
  <c r="AA37" i="1"/>
  <c r="AB37" i="1" s="1"/>
  <c r="O14" i="1"/>
  <c r="O71" i="1"/>
  <c r="O178" i="1"/>
  <c r="O129" i="1"/>
  <c r="U10" i="1"/>
  <c r="U64" i="1"/>
  <c r="AM71" i="1"/>
  <c r="AN71" i="1" s="1"/>
  <c r="AP126" i="1"/>
  <c r="AQ126" i="1" s="1"/>
  <c r="AR154" i="1"/>
  <c r="AP113" i="1"/>
  <c r="AQ113" i="1" s="1"/>
  <c r="AP145" i="1"/>
  <c r="AQ145" i="1" s="1"/>
  <c r="AP14" i="1"/>
  <c r="AQ14" i="1" s="1"/>
  <c r="AA125" i="1"/>
  <c r="AB125" i="1" s="1"/>
  <c r="AP178" i="1"/>
  <c r="AQ178" i="1" s="1"/>
  <c r="R192" i="1"/>
  <c r="S192" i="1" s="1"/>
  <c r="AM192" i="1"/>
  <c r="R70" i="1"/>
  <c r="O82" i="1"/>
  <c r="O19" i="1"/>
  <c r="O86" i="1"/>
  <c r="P86" i="1" s="1"/>
  <c r="AM70" i="1"/>
  <c r="AN70" i="1" s="1"/>
  <c r="AP68" i="1"/>
  <c r="AQ68" i="1" s="1"/>
  <c r="AA113" i="1"/>
  <c r="AB113" i="1" s="1"/>
  <c r="AA115" i="1"/>
  <c r="AB115" i="1" s="1"/>
  <c r="AA171" i="1"/>
  <c r="AB171" i="1" s="1"/>
  <c r="AM125" i="1"/>
  <c r="AN125" i="1" s="1"/>
  <c r="AA10" i="1"/>
  <c r="AB10" i="1" s="1"/>
  <c r="O108" i="1"/>
  <c r="AM168" i="1"/>
  <c r="AN168" i="1" s="1"/>
  <c r="O70" i="1"/>
  <c r="R133" i="1"/>
  <c r="O128" i="1"/>
  <c r="R72" i="1"/>
  <c r="AA84" i="1"/>
  <c r="AB84" i="1" s="1"/>
  <c r="AA70" i="1"/>
  <c r="AB70" i="1" s="1"/>
  <c r="AA72" i="1"/>
  <c r="AB72" i="1" s="1"/>
  <c r="AA57" i="1"/>
  <c r="AB57" i="1" s="1"/>
  <c r="AM169" i="1"/>
  <c r="AN169" i="1" s="1"/>
  <c r="AP8" i="1"/>
  <c r="AQ8" i="1" s="1"/>
  <c r="AM115" i="1"/>
  <c r="AN115" i="1" s="1"/>
  <c r="AA128" i="1"/>
  <c r="AB128" i="1" s="1"/>
  <c r="AP171" i="1"/>
  <c r="AA108" i="1"/>
  <c r="AB108" i="1" s="1"/>
  <c r="AR166" i="1"/>
  <c r="R168" i="1"/>
  <c r="R100" i="1"/>
  <c r="R57" i="1"/>
  <c r="S57" i="1" s="1"/>
  <c r="R14" i="1"/>
  <c r="R90" i="1"/>
  <c r="U57" i="1"/>
  <c r="AM84" i="1"/>
  <c r="AN84" i="1" s="1"/>
  <c r="AP168" i="1"/>
  <c r="AQ168" i="1" s="1"/>
  <c r="AM133" i="1"/>
  <c r="AN133" i="1" s="1"/>
  <c r="AM57" i="1"/>
  <c r="AN57" i="1" s="1"/>
  <c r="AA169" i="1"/>
  <c r="AB169" i="1" s="1"/>
  <c r="AM88" i="1"/>
  <c r="AN88" i="1" s="1"/>
  <c r="AA34" i="1"/>
  <c r="AB34" i="1" s="1"/>
  <c r="AM108" i="1"/>
  <c r="AN108" i="1" s="1"/>
  <c r="AM178" i="1"/>
  <c r="AN178" i="1" s="1"/>
  <c r="AA110" i="1"/>
  <c r="AB110" i="1" s="1"/>
  <c r="AA42" i="1"/>
  <c r="AR67" i="1"/>
  <c r="O60" i="1"/>
  <c r="U79" i="1"/>
  <c r="V79" i="1" s="1"/>
  <c r="U129" i="1"/>
  <c r="R176" i="1"/>
  <c r="AM93" i="1"/>
  <c r="AN93" i="1" s="1"/>
  <c r="AA155" i="1"/>
  <c r="AB155" i="1" s="1"/>
  <c r="AM72" i="1"/>
  <c r="AN72" i="1" s="1"/>
  <c r="AM113" i="1"/>
  <c r="AN113" i="1" s="1"/>
  <c r="AA56" i="1"/>
  <c r="AB56" i="1" s="1"/>
  <c r="AA145" i="1"/>
  <c r="AM34" i="1"/>
  <c r="AN34" i="1" s="1"/>
  <c r="AP10" i="1"/>
  <c r="AQ10" i="1" s="1"/>
  <c r="AM4" i="1"/>
  <c r="AN4" i="1" s="1"/>
  <c r="AA64" i="1"/>
  <c r="AB64" i="1" s="1"/>
  <c r="U82" i="1"/>
  <c r="U185" i="1"/>
  <c r="U108" i="1"/>
  <c r="U142" i="1"/>
  <c r="R10" i="1"/>
  <c r="O49" i="1"/>
  <c r="P49" i="1" s="1"/>
  <c r="U192" i="1"/>
  <c r="U176" i="1"/>
  <c r="AP84" i="1"/>
  <c r="AQ84" i="1" s="1"/>
  <c r="AM123" i="1"/>
  <c r="AN123" i="1" s="1"/>
  <c r="AP93" i="1"/>
  <c r="AQ93" i="1" s="1"/>
  <c r="AM155" i="1"/>
  <c r="AN155" i="1" s="1"/>
  <c r="AP48" i="1"/>
  <c r="AQ48" i="1" s="1"/>
  <c r="AM42" i="1"/>
  <c r="AN42" i="1" s="1"/>
  <c r="AP49" i="1"/>
  <c r="AQ49" i="1" s="1"/>
  <c r="AP169" i="1"/>
  <c r="AQ169" i="1" s="1"/>
  <c r="AP151" i="1"/>
  <c r="AQ151" i="1" s="1"/>
  <c r="AM145" i="1"/>
  <c r="AN145" i="1" s="1"/>
  <c r="AP34" i="1"/>
  <c r="AQ34" i="1" s="1"/>
  <c r="AM14" i="1"/>
  <c r="AN14" i="1" s="1"/>
  <c r="AA178" i="1"/>
  <c r="AB178" i="1" s="1"/>
  <c r="AM19" i="1"/>
  <c r="AN19" i="1" s="1"/>
  <c r="AP4" i="1"/>
  <c r="AQ4" i="1" s="1"/>
  <c r="AM64" i="1"/>
  <c r="AN64" i="1" s="1"/>
  <c r="O176" i="1"/>
  <c r="AA181" i="1"/>
  <c r="AB181" i="1" s="1"/>
  <c r="R86" i="1"/>
  <c r="S86" i="1" s="1"/>
  <c r="AA129" i="1"/>
  <c r="AA126" i="1"/>
  <c r="AB126" i="1" s="1"/>
  <c r="AA112" i="1"/>
  <c r="AB112" i="1" s="1"/>
  <c r="AR116" i="1"/>
  <c r="AA96" i="1"/>
  <c r="AB96" i="1" s="1"/>
  <c r="AA86" i="1"/>
  <c r="AB86" i="1" s="1"/>
  <c r="AA185" i="1"/>
  <c r="AB185" i="1" s="1"/>
  <c r="AA172" i="1"/>
  <c r="AB172" i="1" s="1"/>
  <c r="AA176" i="1"/>
  <c r="O90" i="1"/>
  <c r="AM96" i="1"/>
  <c r="AN96" i="1" s="1"/>
  <c r="R143" i="1"/>
  <c r="R4" i="1"/>
  <c r="U86" i="1"/>
  <c r="V86" i="1" s="1"/>
  <c r="AM121" i="1"/>
  <c r="AN121" i="1" s="1"/>
  <c r="AM181" i="1"/>
  <c r="AA82" i="1"/>
  <c r="AB82" i="1" s="1"/>
  <c r="AM104" i="1"/>
  <c r="AN104" i="1" s="1"/>
  <c r="AP185" i="1"/>
  <c r="AQ185" i="1" s="1"/>
  <c r="AA135" i="1"/>
  <c r="AB135" i="1" s="1"/>
  <c r="AP107" i="1"/>
  <c r="AQ107" i="1" s="1"/>
  <c r="AA142" i="1"/>
  <c r="O64" i="1"/>
  <c r="AA52" i="1"/>
  <c r="AB52" i="1" s="1"/>
  <c r="AR152" i="1"/>
  <c r="AM118" i="1"/>
  <c r="AN118" i="1" s="1"/>
  <c r="AP140" i="1"/>
  <c r="AQ140" i="1" s="1"/>
  <c r="O66" i="1"/>
  <c r="X66" i="1"/>
  <c r="Y66" i="1" s="1"/>
  <c r="AD66" i="1"/>
  <c r="U186" i="1"/>
  <c r="AD186" i="1"/>
  <c r="X186" i="1"/>
  <c r="Y186" i="1" s="1"/>
  <c r="L159" i="1"/>
  <c r="O159" i="1" s="1"/>
  <c r="P159" i="1" s="1"/>
  <c r="AJ159" i="1"/>
  <c r="U132" i="1"/>
  <c r="AD132" i="1"/>
  <c r="X132" i="1"/>
  <c r="Y132" i="1" s="1"/>
  <c r="AE163" i="1"/>
  <c r="AR163" i="1" s="1"/>
  <c r="AG163" i="1"/>
  <c r="O187" i="1"/>
  <c r="X187" i="1"/>
  <c r="Y187" i="1" s="1"/>
  <c r="AD187" i="1"/>
  <c r="U187" i="1"/>
  <c r="R187" i="1"/>
  <c r="AD13" i="1"/>
  <c r="X13" i="1"/>
  <c r="Y13" i="1" s="1"/>
  <c r="U13" i="1"/>
  <c r="R13" i="1"/>
  <c r="O13" i="1"/>
  <c r="AG183" i="1"/>
  <c r="AH183" i="1" s="1"/>
  <c r="AE183" i="1"/>
  <c r="AE29" i="1"/>
  <c r="AG29" i="1"/>
  <c r="AH29" i="1" s="1"/>
  <c r="R189" i="1"/>
  <c r="X189" i="1"/>
  <c r="Y189" i="1" s="1"/>
  <c r="AD189" i="1"/>
  <c r="U189" i="1"/>
  <c r="O189" i="1"/>
  <c r="AE17" i="1"/>
  <c r="AG17" i="1"/>
  <c r="AH17" i="1" s="1"/>
  <c r="U31" i="1"/>
  <c r="AD31" i="1"/>
  <c r="X31" i="1"/>
  <c r="Y31" i="1" s="1"/>
  <c r="R31" i="1"/>
  <c r="O31" i="1"/>
  <c r="R5" i="1"/>
  <c r="AD5" i="1"/>
  <c r="X5" i="1"/>
  <c r="Y5" i="1" s="1"/>
  <c r="AP5" i="1"/>
  <c r="AQ5" i="1" s="1"/>
  <c r="AA5" i="1"/>
  <c r="AB5" i="1" s="1"/>
  <c r="AJ5" i="1"/>
  <c r="AK5" i="1" s="1"/>
  <c r="AM5" i="1"/>
  <c r="AN5" i="1" s="1"/>
  <c r="R106" i="1"/>
  <c r="L92" i="1"/>
  <c r="AP92" i="1" s="1"/>
  <c r="AQ92" i="1" s="1"/>
  <c r="AJ92" i="1"/>
  <c r="AK92" i="1" s="1"/>
  <c r="U50" i="1"/>
  <c r="AD50" i="1"/>
  <c r="X50" i="1"/>
  <c r="Y50" i="1" s="1"/>
  <c r="U83" i="1"/>
  <c r="X83" i="1"/>
  <c r="Y83" i="1" s="1"/>
  <c r="AD83" i="1"/>
  <c r="R83" i="1"/>
  <c r="U28" i="1"/>
  <c r="AD28" i="1"/>
  <c r="X28" i="1"/>
  <c r="Y28" i="1" s="1"/>
  <c r="AD25" i="1"/>
  <c r="X25" i="1"/>
  <c r="Y25" i="1" s="1"/>
  <c r="U157" i="1"/>
  <c r="X157" i="1"/>
  <c r="AD157" i="1"/>
  <c r="R157" i="1"/>
  <c r="O157" i="1"/>
  <c r="AE136" i="1"/>
  <c r="AG136" i="1"/>
  <c r="AH136" i="1" s="1"/>
  <c r="R132" i="1"/>
  <c r="AE76" i="1"/>
  <c r="AG76" i="1"/>
  <c r="AH76" i="1" s="1"/>
  <c r="AD90" i="1"/>
  <c r="X90" i="1"/>
  <c r="Y90" i="1" s="1"/>
  <c r="AD122" i="1"/>
  <c r="X122" i="1"/>
  <c r="Y122" i="1" s="1"/>
  <c r="U122" i="1"/>
  <c r="R122" i="1"/>
  <c r="O122" i="1"/>
  <c r="O130" i="1"/>
  <c r="P130" i="1" s="1"/>
  <c r="AD130" i="1"/>
  <c r="X130" i="1"/>
  <c r="Y130" i="1" s="1"/>
  <c r="U130" i="1"/>
  <c r="V130" i="1" s="1"/>
  <c r="R130" i="1"/>
  <c r="S130" i="1" s="1"/>
  <c r="L26" i="1"/>
  <c r="O26" i="1" s="1"/>
  <c r="AJ26" i="1"/>
  <c r="AK26" i="1" s="1"/>
  <c r="R50" i="1"/>
  <c r="O83" i="1"/>
  <c r="O107" i="1"/>
  <c r="P107" i="1" s="1"/>
  <c r="L180" i="1"/>
  <c r="AM180" i="1" s="1"/>
  <c r="AN180" i="1" s="1"/>
  <c r="AJ180" i="1"/>
  <c r="AK180" i="1" s="1"/>
  <c r="L30" i="1"/>
  <c r="AA30" i="1" s="1"/>
  <c r="AB30" i="1" s="1"/>
  <c r="AJ30" i="1"/>
  <c r="AK30" i="1" s="1"/>
  <c r="R28" i="1"/>
  <c r="U140" i="1"/>
  <c r="V140" i="1" s="1"/>
  <c r="O93" i="1"/>
  <c r="L170" i="1"/>
  <c r="AA170" i="1" s="1"/>
  <c r="AB170" i="1" s="1"/>
  <c r="AJ170" i="1"/>
  <c r="U19" i="1"/>
  <c r="R99" i="1"/>
  <c r="U102" i="1"/>
  <c r="V102" i="1" s="1"/>
  <c r="AD102" i="1"/>
  <c r="X102" i="1"/>
  <c r="Y102" i="1" s="1"/>
  <c r="R102" i="1"/>
  <c r="S102" i="1" s="1"/>
  <c r="O102" i="1"/>
  <c r="P102" i="1" s="1"/>
  <c r="AP123" i="1"/>
  <c r="AQ123" i="1" s="1"/>
  <c r="AP165" i="1"/>
  <c r="AQ165" i="1" s="1"/>
  <c r="O8" i="1"/>
  <c r="AD8" i="1"/>
  <c r="X8" i="1"/>
  <c r="Y8" i="1" s="1"/>
  <c r="AP61" i="1"/>
  <c r="AQ61" i="1" s="1"/>
  <c r="AD155" i="1"/>
  <c r="X155" i="1"/>
  <c r="AM132" i="1"/>
  <c r="AN132" i="1" s="1"/>
  <c r="AE65" i="1"/>
  <c r="AG65" i="1"/>
  <c r="AH65" i="1" s="1"/>
  <c r="O150" i="1"/>
  <c r="X150" i="1"/>
  <c r="Y150" i="1" s="1"/>
  <c r="AD150" i="1"/>
  <c r="R150" i="1"/>
  <c r="U150" i="1"/>
  <c r="AE38" i="1"/>
  <c r="AG38" i="1"/>
  <c r="AH38" i="1" s="1"/>
  <c r="AG39" i="1"/>
  <c r="AH39" i="1" s="1"/>
  <c r="AE39" i="1"/>
  <c r="O46" i="1"/>
  <c r="P46" i="1" s="1"/>
  <c r="X46" i="1"/>
  <c r="Y46" i="1" s="1"/>
  <c r="AD46" i="1"/>
  <c r="U46" i="1"/>
  <c r="V46" i="1" s="1"/>
  <c r="R46" i="1"/>
  <c r="S46" i="1" s="1"/>
  <c r="AG15" i="1"/>
  <c r="AH15" i="1" s="1"/>
  <c r="AE15" i="1"/>
  <c r="AA151" i="1"/>
  <c r="AB151" i="1" s="1"/>
  <c r="AD55" i="1"/>
  <c r="X55" i="1"/>
  <c r="Y55" i="1" s="1"/>
  <c r="AM13" i="1"/>
  <c r="AN13" i="1" s="1"/>
  <c r="AA153" i="1"/>
  <c r="AB153" i="1" s="1"/>
  <c r="AP117" i="1"/>
  <c r="AQ117" i="1" s="1"/>
  <c r="AA90" i="1"/>
  <c r="AB90" i="1" s="1"/>
  <c r="AM28" i="1"/>
  <c r="AN28" i="1" s="1"/>
  <c r="R60" i="1"/>
  <c r="AD60" i="1"/>
  <c r="X60" i="1"/>
  <c r="Y60" i="1" s="1"/>
  <c r="U60" i="1"/>
  <c r="AA8" i="1"/>
  <c r="AB8" i="1" s="1"/>
  <c r="U100" i="1"/>
  <c r="X100" i="1"/>
  <c r="Y100" i="1" s="1"/>
  <c r="AD100" i="1"/>
  <c r="O100" i="1"/>
  <c r="X56" i="1"/>
  <c r="Y56" i="1" s="1"/>
  <c r="AD56" i="1"/>
  <c r="AA88" i="1"/>
  <c r="U143" i="1"/>
  <c r="AD143" i="1"/>
  <c r="X143" i="1"/>
  <c r="Y143" i="1" s="1"/>
  <c r="O143" i="1"/>
  <c r="X62" i="1"/>
  <c r="Y62" i="1" s="1"/>
  <c r="AD62" i="1"/>
  <c r="O62" i="1"/>
  <c r="U62" i="1"/>
  <c r="R62" i="1"/>
  <c r="AG3" i="1"/>
  <c r="AH3" i="1" s="1"/>
  <c r="AE3" i="1"/>
  <c r="R128" i="1"/>
  <c r="X128" i="1"/>
  <c r="Y128" i="1" s="1"/>
  <c r="AD128" i="1"/>
  <c r="U128" i="1"/>
  <c r="R146" i="1"/>
  <c r="X146" i="1"/>
  <c r="Y146" i="1" s="1"/>
  <c r="AD146" i="1"/>
  <c r="O146" i="1"/>
  <c r="AP59" i="1"/>
  <c r="AQ59" i="1" s="1"/>
  <c r="R79" i="1"/>
  <c r="AD79" i="1"/>
  <c r="X79" i="1"/>
  <c r="Y79" i="1" s="1"/>
  <c r="AG33" i="1"/>
  <c r="AH33" i="1" s="1"/>
  <c r="AE33" i="1"/>
  <c r="AM99" i="1"/>
  <c r="AN99" i="1" s="1"/>
  <c r="AA25" i="1"/>
  <c r="AB25" i="1" s="1"/>
  <c r="AA189" i="1"/>
  <c r="AB189" i="1" s="1"/>
  <c r="AM122" i="1"/>
  <c r="AN122" i="1" s="1"/>
  <c r="R119" i="1"/>
  <c r="AD119" i="1"/>
  <c r="X119" i="1"/>
  <c r="Y119" i="1" s="1"/>
  <c r="O119" i="1"/>
  <c r="O135" i="1"/>
  <c r="AD135" i="1"/>
  <c r="X135" i="1"/>
  <c r="Y135" i="1" s="1"/>
  <c r="U135" i="1"/>
  <c r="AP31" i="1"/>
  <c r="AQ31" i="1" s="1"/>
  <c r="AM140" i="1"/>
  <c r="AN140" i="1" s="1"/>
  <c r="AP19" i="1"/>
  <c r="AQ19" i="1" s="1"/>
  <c r="AD176" i="1"/>
  <c r="X176" i="1"/>
  <c r="Y176" i="1" s="1"/>
  <c r="AE85" i="1"/>
  <c r="AG85" i="1"/>
  <c r="AH85" i="1" s="1"/>
  <c r="AA107" i="1"/>
  <c r="AB107" i="1" s="1"/>
  <c r="O5" i="1"/>
  <c r="P5" i="1" s="1"/>
  <c r="R135" i="1"/>
  <c r="U175" i="1"/>
  <c r="O153" i="1"/>
  <c r="L164" i="1"/>
  <c r="AP164" i="1" s="1"/>
  <c r="AQ164" i="1" s="1"/>
  <c r="AM164" i="1"/>
  <c r="AN164" i="1" s="1"/>
  <c r="AJ164" i="1"/>
  <c r="O50" i="1"/>
  <c r="P50" i="1" s="1"/>
  <c r="U48" i="1"/>
  <c r="V48" i="1" s="1"/>
  <c r="O121" i="1"/>
  <c r="R71" i="1"/>
  <c r="O168" i="1"/>
  <c r="U90" i="1"/>
  <c r="U56" i="1"/>
  <c r="R19" i="1"/>
  <c r="O57" i="1"/>
  <c r="U99" i="1"/>
  <c r="AE36" i="1"/>
  <c r="AG36" i="1"/>
  <c r="AH36" i="1" s="1"/>
  <c r="AG74" i="1"/>
  <c r="AH74" i="1" s="1"/>
  <c r="AE74" i="1"/>
  <c r="U70" i="1"/>
  <c r="AD70" i="1"/>
  <c r="X70" i="1"/>
  <c r="Y70" i="1" s="1"/>
  <c r="AP187" i="1"/>
  <c r="AM48" i="1"/>
  <c r="AN48" i="1" s="1"/>
  <c r="AD42" i="1"/>
  <c r="X42" i="1"/>
  <c r="Y42" i="1" s="1"/>
  <c r="O42" i="1"/>
  <c r="R42" i="1"/>
  <c r="U42" i="1"/>
  <c r="AE114" i="1"/>
  <c r="AG114" i="1"/>
  <c r="AH114" i="1" s="1"/>
  <c r="AD169" i="1"/>
  <c r="X169" i="1"/>
  <c r="Y169" i="1" s="1"/>
  <c r="AE21" i="1"/>
  <c r="AG21" i="1"/>
  <c r="AH21" i="1" s="1"/>
  <c r="AP50" i="1"/>
  <c r="AQ50" i="1" s="1"/>
  <c r="AP13" i="1"/>
  <c r="AQ13" i="1" s="1"/>
  <c r="AD27" i="1"/>
  <c r="X27" i="1"/>
  <c r="Y27" i="1" s="1"/>
  <c r="U27" i="1"/>
  <c r="R27" i="1"/>
  <c r="O27" i="1"/>
  <c r="AA192" i="1"/>
  <c r="AM117" i="1"/>
  <c r="AN117" i="1" s="1"/>
  <c r="AP83" i="1"/>
  <c r="AQ83" i="1" s="1"/>
  <c r="AM90" i="1"/>
  <c r="AN90" i="1" s="1"/>
  <c r="O113" i="1"/>
  <c r="P113" i="1" s="1"/>
  <c r="AD113" i="1"/>
  <c r="X113" i="1"/>
  <c r="Y113" i="1" s="1"/>
  <c r="AE81" i="1"/>
  <c r="AG81" i="1"/>
  <c r="AH81" i="1" s="1"/>
  <c r="AR81" i="1" s="1"/>
  <c r="U112" i="1"/>
  <c r="AD112" i="1"/>
  <c r="X112" i="1"/>
  <c r="Y112" i="1" s="1"/>
  <c r="R112" i="1"/>
  <c r="O112" i="1"/>
  <c r="P112" i="1" s="1"/>
  <c r="AG22" i="1"/>
  <c r="AH22" i="1" s="1"/>
  <c r="AE22" i="1"/>
  <c r="AG148" i="1"/>
  <c r="AH148" i="1" s="1"/>
  <c r="AE148" i="1"/>
  <c r="AR148" i="1" s="1"/>
  <c r="U35" i="1"/>
  <c r="X35" i="1"/>
  <c r="Y35" i="1" s="1"/>
  <c r="AD35" i="1"/>
  <c r="U171" i="1"/>
  <c r="AD171" i="1"/>
  <c r="X171" i="1"/>
  <c r="Y171" i="1" s="1"/>
  <c r="O171" i="1"/>
  <c r="AP175" i="1"/>
  <c r="AG103" i="1"/>
  <c r="AH103" i="1" s="1"/>
  <c r="AE103" i="1"/>
  <c r="AE58" i="1"/>
  <c r="AG58" i="1"/>
  <c r="AH58" i="1" s="1"/>
  <c r="AP25" i="1"/>
  <c r="AQ25" i="1" s="1"/>
  <c r="AD86" i="1"/>
  <c r="X86" i="1"/>
  <c r="Y86" i="1" s="1"/>
  <c r="AA122" i="1"/>
  <c r="AB122" i="1" s="1"/>
  <c r="O127" i="1"/>
  <c r="AD127" i="1"/>
  <c r="X127" i="1"/>
  <c r="Y127" i="1" s="1"/>
  <c r="U127" i="1"/>
  <c r="R127" i="1"/>
  <c r="AP157" i="1"/>
  <c r="U37" i="1"/>
  <c r="AD37" i="1"/>
  <c r="X37" i="1"/>
  <c r="Y37" i="1" s="1"/>
  <c r="AM31" i="1"/>
  <c r="AN31" i="1" s="1"/>
  <c r="AE179" i="1"/>
  <c r="AG179" i="1"/>
  <c r="AH179" i="1" s="1"/>
  <c r="AE134" i="1"/>
  <c r="AG134" i="1"/>
  <c r="AH134" i="1" s="1"/>
  <c r="AM107" i="1"/>
  <c r="AN107" i="1" s="1"/>
  <c r="AA130" i="1"/>
  <c r="AB130" i="1" s="1"/>
  <c r="AE137" i="1"/>
  <c r="AG137" i="1"/>
  <c r="AH137" i="1" s="1"/>
  <c r="L111" i="1"/>
  <c r="AP111" i="1" s="1"/>
  <c r="AQ111" i="1" s="1"/>
  <c r="AM111" i="1"/>
  <c r="AN111" i="1" s="1"/>
  <c r="AJ111" i="1"/>
  <c r="AK111" i="1" s="1"/>
  <c r="L174" i="1"/>
  <c r="AP174" i="1" s="1"/>
  <c r="AJ174" i="1"/>
  <c r="AM186" i="1"/>
  <c r="AN186" i="1" s="1"/>
  <c r="AP186" i="1"/>
  <c r="AA186" i="1"/>
  <c r="AJ186" i="1"/>
  <c r="AE173" i="1"/>
  <c r="AG173" i="1"/>
  <c r="AH173" i="1" s="1"/>
  <c r="O61" i="1"/>
  <c r="AD61" i="1"/>
  <c r="X61" i="1"/>
  <c r="Y61" i="1" s="1"/>
  <c r="U61" i="1"/>
  <c r="R61" i="1"/>
  <c r="AG87" i="1"/>
  <c r="AH87" i="1" s="1"/>
  <c r="AE87" i="1"/>
  <c r="U106" i="1"/>
  <c r="AD106" i="1"/>
  <c r="X106" i="1"/>
  <c r="Y106" i="1" s="1"/>
  <c r="AE75" i="1"/>
  <c r="AG75" i="1"/>
  <c r="AH75" i="1" s="1"/>
  <c r="AD99" i="1"/>
  <c r="X99" i="1"/>
  <c r="Y99" i="1" s="1"/>
  <c r="AJ66" i="1"/>
  <c r="AK66" i="1" s="1"/>
  <c r="AM66" i="1"/>
  <c r="AN66" i="1" s="1"/>
  <c r="AA66" i="1"/>
  <c r="AB66" i="1" s="1"/>
  <c r="AP66" i="1"/>
  <c r="AQ66" i="1" s="1"/>
  <c r="O175" i="1"/>
  <c r="O132" i="1"/>
  <c r="AD118" i="1"/>
  <c r="X118" i="1"/>
  <c r="Y118" i="1" s="1"/>
  <c r="O118" i="1"/>
  <c r="U118" i="1"/>
  <c r="R118" i="1"/>
  <c r="AG43" i="1"/>
  <c r="AH43" i="1" s="1"/>
  <c r="AE43" i="1"/>
  <c r="U78" i="1"/>
  <c r="AD78" i="1"/>
  <c r="X78" i="1"/>
  <c r="Y78" i="1" s="1"/>
  <c r="U95" i="1"/>
  <c r="AD95" i="1"/>
  <c r="X95" i="1"/>
  <c r="Y95" i="1" s="1"/>
  <c r="O95" i="1"/>
  <c r="AE101" i="1"/>
  <c r="AG101" i="1"/>
  <c r="AH101" i="1" s="1"/>
  <c r="X19" i="1"/>
  <c r="Y19" i="1" s="1"/>
  <c r="AD19" i="1"/>
  <c r="L18" i="1"/>
  <c r="AM18" i="1" s="1"/>
  <c r="AN18" i="1" s="1"/>
  <c r="AJ18" i="1"/>
  <c r="AK18" i="1" s="1"/>
  <c r="O25" i="1"/>
  <c r="AG73" i="1"/>
  <c r="AH73" i="1" s="1"/>
  <c r="AE73" i="1"/>
  <c r="O68" i="1"/>
  <c r="AD68" i="1"/>
  <c r="X68" i="1"/>
  <c r="Y68" i="1" s="1"/>
  <c r="U68" i="1"/>
  <c r="R68" i="1"/>
  <c r="AE41" i="1"/>
  <c r="AG41" i="1"/>
  <c r="AH41" i="1" s="1"/>
  <c r="U121" i="1"/>
  <c r="AD121" i="1"/>
  <c r="X121" i="1"/>
  <c r="Y121" i="1" s="1"/>
  <c r="R110" i="1"/>
  <c r="AD110" i="1"/>
  <c r="X110" i="1"/>
  <c r="Y110" i="1" s="1"/>
  <c r="U110" i="1"/>
  <c r="O110" i="1"/>
  <c r="R49" i="1"/>
  <c r="AD49" i="1"/>
  <c r="X49" i="1"/>
  <c r="Y49" i="1" s="1"/>
  <c r="AE109" i="1"/>
  <c r="AG109" i="1"/>
  <c r="AH109" i="1" s="1"/>
  <c r="O88" i="1"/>
  <c r="AD88" i="1"/>
  <c r="X88" i="1"/>
  <c r="Y88" i="1" s="1"/>
  <c r="R88" i="1"/>
  <c r="U88" i="1"/>
  <c r="AE147" i="1"/>
  <c r="AG147" i="1"/>
  <c r="AH147" i="1" s="1"/>
  <c r="U14" i="1"/>
  <c r="X14" i="1"/>
  <c r="Y14" i="1" s="1"/>
  <c r="AD14" i="1"/>
  <c r="AE184" i="1"/>
  <c r="AG184" i="1"/>
  <c r="AH184" i="1" s="1"/>
  <c r="U4" i="1"/>
  <c r="AD4" i="1"/>
  <c r="X4" i="1"/>
  <c r="Y4" i="1" s="1"/>
  <c r="O4" i="1"/>
  <c r="P4" i="1" s="1"/>
  <c r="AE139" i="1"/>
  <c r="AR139" i="1" s="1"/>
  <c r="AG139" i="1"/>
  <c r="AH139" i="1" s="1"/>
  <c r="L16" i="1"/>
  <c r="AA16" i="1" s="1"/>
  <c r="AB16" i="1" s="1"/>
  <c r="AJ16" i="1"/>
  <c r="AK16" i="1" s="1"/>
  <c r="AM182" i="1"/>
  <c r="AP182" i="1"/>
  <c r="AJ182" i="1"/>
  <c r="AK182" i="1" s="1"/>
  <c r="AA182" i="1"/>
  <c r="O117" i="1"/>
  <c r="R145" i="1"/>
  <c r="U155" i="1"/>
  <c r="O55" i="1"/>
  <c r="P55" i="1" s="1"/>
  <c r="AE40" i="1"/>
  <c r="AR40" i="1" s="1"/>
  <c r="AG40" i="1"/>
  <c r="AH40" i="1" s="1"/>
  <c r="AG160" i="1"/>
  <c r="AH160" i="1" s="1"/>
  <c r="AE160" i="1"/>
  <c r="R84" i="1"/>
  <c r="X84" i="1"/>
  <c r="Y84" i="1" s="1"/>
  <c r="AD84" i="1"/>
  <c r="U84" i="1"/>
  <c r="AM102" i="1"/>
  <c r="AN102" i="1" s="1"/>
  <c r="AG158" i="1"/>
  <c r="AH158" i="1" s="1"/>
  <c r="AE158" i="1"/>
  <c r="AA61" i="1"/>
  <c r="AB61" i="1" s="1"/>
  <c r="AA132" i="1"/>
  <c r="AB132" i="1" s="1"/>
  <c r="AE24" i="1"/>
  <c r="AG24" i="1"/>
  <c r="AH24" i="1" s="1"/>
  <c r="AM187" i="1"/>
  <c r="AN187" i="1" s="1"/>
  <c r="AP150" i="1"/>
  <c r="U72" i="1"/>
  <c r="AD72" i="1"/>
  <c r="X72" i="1"/>
  <c r="Y72" i="1" s="1"/>
  <c r="AP46" i="1"/>
  <c r="AQ46" i="1" s="1"/>
  <c r="R142" i="1"/>
  <c r="X142" i="1"/>
  <c r="AD142" i="1"/>
  <c r="O142" i="1"/>
  <c r="R129" i="1"/>
  <c r="X129" i="1"/>
  <c r="Y129" i="1" s="1"/>
  <c r="AD129" i="1"/>
  <c r="AD126" i="1"/>
  <c r="X126" i="1"/>
  <c r="Y126" i="1" s="1"/>
  <c r="U126" i="1"/>
  <c r="O126" i="1"/>
  <c r="R126" i="1"/>
  <c r="AP55" i="1"/>
  <c r="AQ55" i="1" s="1"/>
  <c r="AD181" i="1"/>
  <c r="X181" i="1"/>
  <c r="Y181" i="1" s="1"/>
  <c r="U181" i="1"/>
  <c r="R181" i="1"/>
  <c r="O181" i="1"/>
  <c r="AA106" i="1"/>
  <c r="AB106" i="1" s="1"/>
  <c r="O131" i="1"/>
  <c r="AD131" i="1"/>
  <c r="X131" i="1"/>
  <c r="Y131" i="1" s="1"/>
  <c r="U131" i="1"/>
  <c r="R131" i="1"/>
  <c r="R82" i="1"/>
  <c r="AD82" i="1"/>
  <c r="X82" i="1"/>
  <c r="Y82" i="1" s="1"/>
  <c r="AA60" i="1"/>
  <c r="AB60" i="1" s="1"/>
  <c r="AM100" i="1"/>
  <c r="AN100" i="1" s="1"/>
  <c r="X94" i="1"/>
  <c r="Y94" i="1" s="1"/>
  <c r="AD94" i="1"/>
  <c r="U94" i="1"/>
  <c r="O94" i="1"/>
  <c r="R94" i="1"/>
  <c r="AM143" i="1"/>
  <c r="AN143" i="1" s="1"/>
  <c r="AM62" i="1"/>
  <c r="AN62" i="1" s="1"/>
  <c r="AE91" i="1"/>
  <c r="AG91" i="1"/>
  <c r="AH91" i="1" s="1"/>
  <c r="O115" i="1"/>
  <c r="AD115" i="1"/>
  <c r="X115" i="1"/>
  <c r="U115" i="1"/>
  <c r="R115" i="1"/>
  <c r="AM128" i="1"/>
  <c r="AN128" i="1" s="1"/>
  <c r="AD104" i="1"/>
  <c r="X104" i="1"/>
  <c r="Y104" i="1" s="1"/>
  <c r="R104" i="1"/>
  <c r="O104" i="1"/>
  <c r="P104" i="1" s="1"/>
  <c r="U104" i="1"/>
  <c r="O96" i="1"/>
  <c r="AD96" i="1"/>
  <c r="X96" i="1"/>
  <c r="Y96" i="1" s="1"/>
  <c r="U96" i="1"/>
  <c r="R96" i="1"/>
  <c r="AP146" i="1"/>
  <c r="U34" i="1"/>
  <c r="AD34" i="1"/>
  <c r="X34" i="1"/>
  <c r="Y34" i="1" s="1"/>
  <c r="AP79" i="1"/>
  <c r="AQ79" i="1" s="1"/>
  <c r="AE20" i="1"/>
  <c r="AG20" i="1"/>
  <c r="AH20" i="1" s="1"/>
  <c r="AE156" i="1"/>
  <c r="AG156" i="1"/>
  <c r="AH156" i="1" s="1"/>
  <c r="AE44" i="1"/>
  <c r="AG44" i="1"/>
  <c r="AH44" i="1" s="1"/>
  <c r="AA99" i="1"/>
  <c r="AM189" i="1"/>
  <c r="AN189" i="1" s="1"/>
  <c r="R185" i="1"/>
  <c r="AD185" i="1"/>
  <c r="X185" i="1"/>
  <c r="Y185" i="1" s="1"/>
  <c r="AP119" i="1"/>
  <c r="AQ119" i="1" s="1"/>
  <c r="AG89" i="1"/>
  <c r="AH89" i="1" s="1"/>
  <c r="AE89" i="1"/>
  <c r="AM135" i="1"/>
  <c r="AN135" i="1" s="1"/>
  <c r="AA31" i="1"/>
  <c r="AB31" i="1" s="1"/>
  <c r="AD172" i="1"/>
  <c r="X172" i="1"/>
  <c r="Y172" i="1" s="1"/>
  <c r="U172" i="1"/>
  <c r="V172" i="1" s="1"/>
  <c r="R172" i="1"/>
  <c r="S172" i="1" s="1"/>
  <c r="O172" i="1"/>
  <c r="P172" i="1" s="1"/>
  <c r="AP110" i="1"/>
  <c r="AQ110" i="1" s="1"/>
  <c r="AM142" i="1"/>
  <c r="AN142" i="1" s="1"/>
  <c r="AE47" i="1"/>
  <c r="AR47" i="1" s="1"/>
  <c r="AG47" i="1"/>
  <c r="AH47" i="1" s="1"/>
  <c r="AE6" i="1"/>
  <c r="AG6" i="1"/>
  <c r="AH6" i="1" s="1"/>
  <c r="R182" i="1"/>
  <c r="AD182" i="1"/>
  <c r="X182" i="1"/>
  <c r="Y182" i="1" s="1"/>
  <c r="X165" i="1"/>
  <c r="Y165" i="1" s="1"/>
  <c r="AD165" i="1"/>
  <c r="U165" i="1"/>
  <c r="O165" i="1"/>
  <c r="R165" i="1"/>
  <c r="AE105" i="1"/>
  <c r="AG105" i="1"/>
  <c r="AH105" i="1" s="1"/>
  <c r="U80" i="1"/>
  <c r="AD80" i="1"/>
  <c r="X80" i="1"/>
  <c r="Y80" i="1" s="1"/>
  <c r="R175" i="1"/>
  <c r="S175" i="1" s="1"/>
  <c r="AR175" i="1" s="1"/>
  <c r="AD175" i="1"/>
  <c r="AG175" i="1" s="1"/>
  <c r="X175" i="1"/>
  <c r="AP80" i="1"/>
  <c r="AQ80" i="1" s="1"/>
  <c r="AE63" i="1"/>
  <c r="AG63" i="1"/>
  <c r="AH63" i="1" s="1"/>
  <c r="AD54" i="1"/>
  <c r="X54" i="1"/>
  <c r="Y54" i="1" s="1"/>
  <c r="R48" i="1"/>
  <c r="S48" i="1" s="1"/>
  <c r="X48" i="1"/>
  <c r="Y48" i="1" s="1"/>
  <c r="AD48" i="1"/>
  <c r="AD161" i="1"/>
  <c r="X161" i="1"/>
  <c r="R161" i="1"/>
  <c r="S161" i="1" s="1"/>
  <c r="U161" i="1"/>
  <c r="V161" i="1" s="1"/>
  <c r="O161" i="1"/>
  <c r="P161" i="1" s="1"/>
  <c r="U151" i="1"/>
  <c r="AD151" i="1"/>
  <c r="X151" i="1"/>
  <c r="Y151" i="1" s="1"/>
  <c r="AD59" i="1"/>
  <c r="X59" i="1"/>
  <c r="Y59" i="1" s="1"/>
  <c r="U59" i="1"/>
  <c r="O59" i="1"/>
  <c r="R59" i="1"/>
  <c r="AE138" i="1"/>
  <c r="AG138" i="1"/>
  <c r="AH138" i="1" s="1"/>
  <c r="L77" i="1"/>
  <c r="AA77" i="1" s="1"/>
  <c r="AB77" i="1" s="1"/>
  <c r="AJ77" i="1"/>
  <c r="AK77" i="1" s="1"/>
  <c r="L9" i="1"/>
  <c r="AA9" i="1" s="1"/>
  <c r="AB9" i="1" s="1"/>
  <c r="AM9" i="1"/>
  <c r="AN9" i="1" s="1"/>
  <c r="AJ9" i="1"/>
  <c r="AK9" i="1" s="1"/>
  <c r="L162" i="1"/>
  <c r="AP162" i="1" s="1"/>
  <c r="AQ162" i="1" s="1"/>
  <c r="AJ162" i="1"/>
  <c r="AK162" i="1" s="1"/>
  <c r="O28" i="1"/>
  <c r="R54" i="1"/>
  <c r="S54" i="1" s="1"/>
  <c r="U123" i="1"/>
  <c r="AD123" i="1"/>
  <c r="X123" i="1"/>
  <c r="Y123" i="1" s="1"/>
  <c r="R123" i="1"/>
  <c r="U133" i="1"/>
  <c r="X133" i="1"/>
  <c r="Y133" i="1" s="1"/>
  <c r="AD133" i="1"/>
  <c r="AE7" i="1"/>
  <c r="AG7" i="1"/>
  <c r="AH7" i="1" s="1"/>
  <c r="R153" i="1"/>
  <c r="X153" i="1"/>
  <c r="Y153" i="1" s="1"/>
  <c r="AD153" i="1"/>
  <c r="U153" i="1"/>
  <c r="AG11" i="1"/>
  <c r="AH11" i="1" s="1"/>
  <c r="AE11" i="1"/>
  <c r="AG32" i="1"/>
  <c r="AH32" i="1" s="1"/>
  <c r="AE32" i="1"/>
  <c r="U107" i="1"/>
  <c r="AD107" i="1"/>
  <c r="X107" i="1"/>
  <c r="Y107" i="1" s="1"/>
  <c r="O144" i="1"/>
  <c r="AD144" i="1"/>
  <c r="X144" i="1"/>
  <c r="Y144" i="1" s="1"/>
  <c r="R144" i="1"/>
  <c r="U144" i="1"/>
  <c r="R140" i="1"/>
  <c r="S140" i="1" s="1"/>
  <c r="X140" i="1"/>
  <c r="Y140" i="1" s="1"/>
  <c r="AD140" i="1"/>
  <c r="L190" i="1"/>
  <c r="AP190" i="1" s="1"/>
  <c r="AQ190" i="1" s="1"/>
  <c r="AJ190" i="1"/>
  <c r="AK190" i="1" s="1"/>
  <c r="O106" i="1"/>
  <c r="P106" i="1" s="1"/>
  <c r="O123" i="1"/>
  <c r="R117" i="1"/>
  <c r="AD117" i="1"/>
  <c r="X117" i="1"/>
  <c r="U117" i="1"/>
  <c r="U93" i="1"/>
  <c r="X93" i="1"/>
  <c r="Y93" i="1" s="1"/>
  <c r="AD93" i="1"/>
  <c r="U168" i="1"/>
  <c r="AD168" i="1"/>
  <c r="X168" i="1"/>
  <c r="Y168" i="1" s="1"/>
  <c r="AE167" i="1"/>
  <c r="AR167" i="1" s="1"/>
  <c r="AG167" i="1"/>
  <c r="AH167" i="1" s="1"/>
  <c r="AD192" i="1"/>
  <c r="AG192" i="1" s="1"/>
  <c r="X192" i="1"/>
  <c r="Y192" i="1" s="1"/>
  <c r="AR192" i="1" s="1"/>
  <c r="U145" i="1"/>
  <c r="AD145" i="1"/>
  <c r="X145" i="1"/>
  <c r="Y145" i="1" s="1"/>
  <c r="R178" i="1"/>
  <c r="X178" i="1"/>
  <c r="Y178" i="1" s="1"/>
  <c r="AD178" i="1"/>
  <c r="L188" i="1"/>
  <c r="AP188" i="1" s="1"/>
  <c r="AQ188" i="1" s="1"/>
  <c r="AJ188" i="1"/>
  <c r="AK188" i="1" s="1"/>
  <c r="R121" i="1"/>
  <c r="O133" i="1"/>
  <c r="O151" i="1"/>
  <c r="P151" i="1" s="1"/>
  <c r="U49" i="1"/>
  <c r="O140" i="1"/>
  <c r="P140" i="1" s="1"/>
  <c r="R56" i="1"/>
  <c r="S56" i="1" s="1"/>
  <c r="O155" i="1"/>
  <c r="P155" i="1" s="1"/>
  <c r="R55" i="1"/>
  <c r="O99" i="1"/>
  <c r="AA54" i="1"/>
  <c r="AB54" i="1" s="1"/>
  <c r="AP102" i="1"/>
  <c r="AQ102" i="1" s="1"/>
  <c r="AM165" i="1"/>
  <c r="AN165" i="1" s="1"/>
  <c r="R52" i="1"/>
  <c r="AD52" i="1"/>
  <c r="X52" i="1"/>
  <c r="Y52" i="1" s="1"/>
  <c r="U52" i="1"/>
  <c r="O52" i="1"/>
  <c r="P52" i="1" s="1"/>
  <c r="AP155" i="1"/>
  <c r="AQ155" i="1" s="1"/>
  <c r="AP132" i="1"/>
  <c r="AQ132" i="1" s="1"/>
  <c r="U71" i="1"/>
  <c r="AD71" i="1"/>
  <c r="X71" i="1"/>
  <c r="Y71" i="1" s="1"/>
  <c r="AA187" i="1"/>
  <c r="AB187" i="1" s="1"/>
  <c r="AA48" i="1"/>
  <c r="AB48" i="1" s="1"/>
  <c r="AM150" i="1"/>
  <c r="AN150" i="1" s="1"/>
  <c r="R149" i="1"/>
  <c r="AD149" i="1"/>
  <c r="X149" i="1"/>
  <c r="Y149" i="1" s="1"/>
  <c r="AA161" i="1"/>
  <c r="AB161" i="1" s="1"/>
  <c r="AM46" i="1"/>
  <c r="AN46" i="1" s="1"/>
  <c r="AP118" i="1"/>
  <c r="AQ118" i="1" s="1"/>
  <c r="AD57" i="1"/>
  <c r="X57" i="1"/>
  <c r="Y57" i="1" s="1"/>
  <c r="AM151" i="1"/>
  <c r="AN151" i="1" s="1"/>
  <c r="AE53" i="1"/>
  <c r="AG53" i="1"/>
  <c r="AH53" i="1" s="1"/>
  <c r="AE191" i="1"/>
  <c r="AR191" i="1" s="1"/>
  <c r="AG191" i="1"/>
  <c r="AA50" i="1"/>
  <c r="AB50" i="1" s="1"/>
  <c r="AM55" i="1"/>
  <c r="AN55" i="1" s="1"/>
  <c r="AA13" i="1"/>
  <c r="AB13" i="1" s="1"/>
  <c r="R45" i="1"/>
  <c r="S45" i="1" s="1"/>
  <c r="AD45" i="1"/>
  <c r="X45" i="1"/>
  <c r="Y45" i="1" s="1"/>
  <c r="U45" i="1"/>
  <c r="V45" i="1" s="1"/>
  <c r="O45" i="1"/>
  <c r="P45" i="1" s="1"/>
  <c r="AM106" i="1"/>
  <c r="AN106" i="1" s="1"/>
  <c r="AG51" i="1"/>
  <c r="AH51" i="1" s="1"/>
  <c r="AE51" i="1"/>
  <c r="AA83" i="1"/>
  <c r="AB83" i="1" s="1"/>
  <c r="AA28" i="1"/>
  <c r="AB28" i="1" s="1"/>
  <c r="AM60" i="1"/>
  <c r="AN60" i="1" s="1"/>
  <c r="AP56" i="1"/>
  <c r="AP143" i="1"/>
  <c r="AG12" i="1"/>
  <c r="AH12" i="1" s="1"/>
  <c r="AE12" i="1"/>
  <c r="AA78" i="1"/>
  <c r="AA95" i="1"/>
  <c r="AM146" i="1"/>
  <c r="AN146" i="1" s="1"/>
  <c r="AA59" i="1"/>
  <c r="AB59" i="1" s="1"/>
  <c r="AM79" i="1"/>
  <c r="AN79" i="1" s="1"/>
  <c r="AM175" i="1"/>
  <c r="AG124" i="1"/>
  <c r="AH124" i="1" s="1"/>
  <c r="AE124" i="1"/>
  <c r="AR124" i="1" s="1"/>
  <c r="AR33" i="1"/>
  <c r="AG69" i="1"/>
  <c r="AH69" i="1" s="1"/>
  <c r="AE69" i="1"/>
  <c r="AP189" i="1"/>
  <c r="U125" i="1"/>
  <c r="AD125" i="1"/>
  <c r="X125" i="1"/>
  <c r="Y125" i="1" s="1"/>
  <c r="AA157" i="1"/>
  <c r="AM119" i="1"/>
  <c r="AN119" i="1" s="1"/>
  <c r="R108" i="1"/>
  <c r="AD108" i="1"/>
  <c r="X108" i="1"/>
  <c r="Y108" i="1" s="1"/>
  <c r="O10" i="1"/>
  <c r="X10" i="1"/>
  <c r="Y10" i="1" s="1"/>
  <c r="AD10" i="1"/>
  <c r="AE98" i="1"/>
  <c r="AG98" i="1"/>
  <c r="AH98" i="1" s="1"/>
  <c r="AM176" i="1"/>
  <c r="AE141" i="1"/>
  <c r="AG141" i="1"/>
  <c r="AH141" i="1" s="1"/>
  <c r="AM80" i="1"/>
  <c r="AN80" i="1" s="1"/>
  <c r="R64" i="1"/>
  <c r="AD64" i="1"/>
  <c r="X64" i="1"/>
  <c r="Y64" i="1" s="1"/>
  <c r="U182" i="1"/>
  <c r="R66" i="1"/>
  <c r="O186" i="1"/>
  <c r="U9" i="1"/>
  <c r="R186" i="1"/>
  <c r="U66" i="1"/>
  <c r="O162" i="1" l="1"/>
  <c r="AR32" i="1"/>
  <c r="AR89" i="1"/>
  <c r="AM170" i="1"/>
  <c r="AN170" i="1" s="1"/>
  <c r="AR173" i="1"/>
  <c r="AR36" i="1"/>
  <c r="AR114" i="1"/>
  <c r="AR39" i="1"/>
  <c r="AR38" i="1"/>
  <c r="AM188" i="1"/>
  <c r="AN188" i="1" s="1"/>
  <c r="AP77" i="1"/>
  <c r="AQ77" i="1" s="1"/>
  <c r="AR134" i="1"/>
  <c r="AR136" i="1"/>
  <c r="O9" i="1"/>
  <c r="AR63" i="1"/>
  <c r="U164" i="1"/>
  <c r="R190" i="1"/>
  <c r="AP9" i="1"/>
  <c r="AQ9" i="1" s="1"/>
  <c r="AR91" i="1"/>
  <c r="AR158" i="1"/>
  <c r="AR147" i="1"/>
  <c r="AR21" i="1"/>
  <c r="O164" i="1"/>
  <c r="R174" i="1"/>
  <c r="AP26" i="1"/>
  <c r="AQ26" i="1" s="1"/>
  <c r="AR98" i="1"/>
  <c r="R188" i="1"/>
  <c r="AA188" i="1"/>
  <c r="AB188" i="1" s="1"/>
  <c r="AR11" i="1"/>
  <c r="AR24" i="1"/>
  <c r="AR184" i="1"/>
  <c r="AR73" i="1"/>
  <c r="AR75" i="1"/>
  <c r="AR44" i="1"/>
  <c r="AR74" i="1"/>
  <c r="AR3" i="1"/>
  <c r="AR15" i="1"/>
  <c r="AR76" i="1"/>
  <c r="AR58" i="1"/>
  <c r="AR141" i="1"/>
  <c r="AR69" i="1"/>
  <c r="AM162" i="1"/>
  <c r="AN162" i="1" s="1"/>
  <c r="AR6" i="1"/>
  <c r="AR156" i="1"/>
  <c r="AA111" i="1"/>
  <c r="AB111" i="1" s="1"/>
  <c r="AR29" i="1"/>
  <c r="AR87" i="1"/>
  <c r="AR65" i="1"/>
  <c r="AR105" i="1"/>
  <c r="R162" i="1"/>
  <c r="AR7" i="1"/>
  <c r="AR138" i="1"/>
  <c r="AR41" i="1"/>
  <c r="U26" i="1"/>
  <c r="O18" i="1"/>
  <c r="AR12" i="1"/>
  <c r="AR160" i="1"/>
  <c r="AR109" i="1"/>
  <c r="AA18" i="1"/>
  <c r="AB18" i="1" s="1"/>
  <c r="AR101" i="1"/>
  <c r="AR43" i="1"/>
  <c r="AR179" i="1"/>
  <c r="AR22" i="1"/>
  <c r="U174" i="1"/>
  <c r="R18" i="1"/>
  <c r="AA162" i="1"/>
  <c r="AB162" i="1" s="1"/>
  <c r="U18" i="1"/>
  <c r="AR20" i="1"/>
  <c r="AM174" i="1"/>
  <c r="AP170" i="1"/>
  <c r="AQ170" i="1" s="1"/>
  <c r="AM30" i="1"/>
  <c r="AN30" i="1" s="1"/>
  <c r="AR17" i="1"/>
  <c r="AR183" i="1"/>
  <c r="U162" i="1"/>
  <c r="AR85" i="1"/>
  <c r="AP18" i="1"/>
  <c r="AQ18" i="1" s="1"/>
  <c r="O188" i="1"/>
  <c r="O77" i="1"/>
  <c r="O174" i="1"/>
  <c r="AR103" i="1"/>
  <c r="AP30" i="1"/>
  <c r="AQ30" i="1" s="1"/>
  <c r="AM26" i="1"/>
  <c r="AN26" i="1" s="1"/>
  <c r="AE59" i="1"/>
  <c r="AG59" i="1"/>
  <c r="AH59" i="1" s="1"/>
  <c r="AE55" i="1"/>
  <c r="AG55" i="1"/>
  <c r="AH55" i="1" s="1"/>
  <c r="AE182" i="1"/>
  <c r="AG182" i="1"/>
  <c r="AH182" i="1" s="1"/>
  <c r="AE14" i="1"/>
  <c r="AG14" i="1"/>
  <c r="AH14" i="1" s="1"/>
  <c r="AR137" i="1"/>
  <c r="AE127" i="1"/>
  <c r="AG127" i="1"/>
  <c r="AH127" i="1" s="1"/>
  <c r="AE35" i="1"/>
  <c r="AG35" i="1"/>
  <c r="AH35" i="1" s="1"/>
  <c r="AE52" i="1"/>
  <c r="AG52" i="1"/>
  <c r="AH52" i="1" s="1"/>
  <c r="AE151" i="1"/>
  <c r="AG151" i="1"/>
  <c r="AH151" i="1" s="1"/>
  <c r="AE42" i="1"/>
  <c r="AG42" i="1"/>
  <c r="AH42" i="1" s="1"/>
  <c r="R164" i="1"/>
  <c r="AD164" i="1"/>
  <c r="X164" i="1"/>
  <c r="Y164" i="1" s="1"/>
  <c r="AE100" i="1"/>
  <c r="AG100" i="1"/>
  <c r="AH100" i="1" s="1"/>
  <c r="AR100" i="1" s="1"/>
  <c r="AG102" i="1"/>
  <c r="AH102" i="1" s="1"/>
  <c r="AE102" i="1"/>
  <c r="AE71" i="1"/>
  <c r="AG71" i="1"/>
  <c r="AH71" i="1" s="1"/>
  <c r="AR71" i="1" s="1"/>
  <c r="AE93" i="1"/>
  <c r="AG93" i="1"/>
  <c r="AH93" i="1" s="1"/>
  <c r="R16" i="1"/>
  <c r="U159" i="1"/>
  <c r="V159" i="1" s="1"/>
  <c r="R92" i="1"/>
  <c r="AE125" i="1"/>
  <c r="AG125" i="1"/>
  <c r="AH125" i="1" s="1"/>
  <c r="AM190" i="1"/>
  <c r="AE123" i="1"/>
  <c r="AG123" i="1"/>
  <c r="AH123" i="1" s="1"/>
  <c r="AE54" i="1"/>
  <c r="AG54" i="1"/>
  <c r="AH54" i="1" s="1"/>
  <c r="AE80" i="1"/>
  <c r="AG80" i="1"/>
  <c r="AH80" i="1" s="1"/>
  <c r="AG165" i="1"/>
  <c r="AH165" i="1" s="1"/>
  <c r="AE165" i="1"/>
  <c r="AR165" i="1" s="1"/>
  <c r="AG126" i="1"/>
  <c r="AH126" i="1" s="1"/>
  <c r="AE126" i="1"/>
  <c r="AR126" i="1" s="1"/>
  <c r="AE78" i="1"/>
  <c r="AG78" i="1"/>
  <c r="AH78" i="1" s="1"/>
  <c r="AE118" i="1"/>
  <c r="AG118" i="1"/>
  <c r="AH118" i="1" s="1"/>
  <c r="AE106" i="1"/>
  <c r="AG106" i="1"/>
  <c r="AH106" i="1" s="1"/>
  <c r="AR106" i="1" s="1"/>
  <c r="AA174" i="1"/>
  <c r="AE70" i="1"/>
  <c r="AR70" i="1" s="1"/>
  <c r="AG70" i="1"/>
  <c r="AH70" i="1" s="1"/>
  <c r="AP180" i="1"/>
  <c r="AA26" i="1"/>
  <c r="AB26" i="1" s="1"/>
  <c r="AG130" i="1"/>
  <c r="AH130" i="1" s="1"/>
  <c r="AE130" i="1"/>
  <c r="AG90" i="1"/>
  <c r="AH90" i="1" s="1"/>
  <c r="AE90" i="1"/>
  <c r="AM92" i="1"/>
  <c r="AN92" i="1" s="1"/>
  <c r="AP159" i="1"/>
  <c r="AE66" i="1"/>
  <c r="AG66" i="1"/>
  <c r="AH66" i="1" s="1"/>
  <c r="U92" i="1"/>
  <c r="AG57" i="1"/>
  <c r="AH57" i="1" s="1"/>
  <c r="AE57" i="1"/>
  <c r="U188" i="1"/>
  <c r="AD188" i="1"/>
  <c r="X188" i="1"/>
  <c r="Y188" i="1" s="1"/>
  <c r="X162" i="1"/>
  <c r="Y162" i="1" s="1"/>
  <c r="AD162" i="1"/>
  <c r="AE172" i="1"/>
  <c r="AG172" i="1"/>
  <c r="AH172" i="1" s="1"/>
  <c r="AE185" i="1"/>
  <c r="AG185" i="1"/>
  <c r="AH185" i="1" s="1"/>
  <c r="AE94" i="1"/>
  <c r="AG94" i="1"/>
  <c r="AH94" i="1" s="1"/>
  <c r="AE129" i="1"/>
  <c r="AG129" i="1"/>
  <c r="AH129" i="1" s="1"/>
  <c r="AM16" i="1"/>
  <c r="AN16" i="1" s="1"/>
  <c r="AE49" i="1"/>
  <c r="AG49" i="1"/>
  <c r="AH49" i="1" s="1"/>
  <c r="AG99" i="1"/>
  <c r="AH99" i="1" s="1"/>
  <c r="AE99" i="1"/>
  <c r="U111" i="1"/>
  <c r="AD111" i="1"/>
  <c r="X111" i="1"/>
  <c r="Y111" i="1" s="1"/>
  <c r="O111" i="1"/>
  <c r="P111" i="1" s="1"/>
  <c r="R111" i="1"/>
  <c r="AE171" i="1"/>
  <c r="AR171" i="1" s="1"/>
  <c r="AG171" i="1"/>
  <c r="AA164" i="1"/>
  <c r="AE119" i="1"/>
  <c r="AG119" i="1"/>
  <c r="AH119" i="1" s="1"/>
  <c r="AG56" i="1"/>
  <c r="AH56" i="1" s="1"/>
  <c r="AE56" i="1"/>
  <c r="AE46" i="1"/>
  <c r="AG46" i="1"/>
  <c r="AH46" i="1" s="1"/>
  <c r="AE28" i="1"/>
  <c r="AG28" i="1"/>
  <c r="AH28" i="1" s="1"/>
  <c r="AE5" i="1"/>
  <c r="AG5" i="1"/>
  <c r="AH5" i="1" s="1"/>
  <c r="AE13" i="1"/>
  <c r="AR13" i="1" s="1"/>
  <c r="AG13" i="1"/>
  <c r="AH13" i="1" s="1"/>
  <c r="AM159" i="1"/>
  <c r="AN159" i="1" s="1"/>
  <c r="AG178" i="1"/>
  <c r="AH178" i="1" s="1"/>
  <c r="AE178" i="1"/>
  <c r="AE145" i="1"/>
  <c r="AG145" i="1"/>
  <c r="AH145" i="1" s="1"/>
  <c r="AG117" i="1"/>
  <c r="AH117" i="1" s="1"/>
  <c r="AE117" i="1"/>
  <c r="AR117" i="1" s="1"/>
  <c r="AG104" i="1"/>
  <c r="AH104" i="1" s="1"/>
  <c r="AE104" i="1"/>
  <c r="AE121" i="1"/>
  <c r="AG121" i="1"/>
  <c r="AH121" i="1" s="1"/>
  <c r="AE79" i="1"/>
  <c r="AG79" i="1"/>
  <c r="AH79" i="1" s="1"/>
  <c r="AG62" i="1"/>
  <c r="AH62" i="1" s="1"/>
  <c r="AE62" i="1"/>
  <c r="AR62" i="1" s="1"/>
  <c r="AG150" i="1"/>
  <c r="AH150" i="1" s="1"/>
  <c r="AE150" i="1"/>
  <c r="AE155" i="1"/>
  <c r="AG155" i="1"/>
  <c r="AH155" i="1" s="1"/>
  <c r="AD180" i="1"/>
  <c r="X180" i="1"/>
  <c r="Y180" i="1" s="1"/>
  <c r="U180" i="1"/>
  <c r="R180" i="1"/>
  <c r="O180" i="1"/>
  <c r="AE50" i="1"/>
  <c r="AG50" i="1"/>
  <c r="AH50" i="1" s="1"/>
  <c r="AD190" i="1"/>
  <c r="X190" i="1"/>
  <c r="Y190" i="1" s="1"/>
  <c r="AG144" i="1"/>
  <c r="AE144" i="1"/>
  <c r="AR144" i="1" s="1"/>
  <c r="AE133" i="1"/>
  <c r="AG133" i="1"/>
  <c r="AH133" i="1" s="1"/>
  <c r="U77" i="1"/>
  <c r="AD77" i="1"/>
  <c r="X77" i="1"/>
  <c r="Y77" i="1" s="1"/>
  <c r="AG88" i="1"/>
  <c r="AH88" i="1" s="1"/>
  <c r="AE88" i="1"/>
  <c r="AE113" i="1"/>
  <c r="AG113" i="1"/>
  <c r="AH113" i="1" s="1"/>
  <c r="AG169" i="1"/>
  <c r="AH169" i="1" s="1"/>
  <c r="AE169" i="1"/>
  <c r="AE132" i="1"/>
  <c r="AG132" i="1"/>
  <c r="AH132" i="1" s="1"/>
  <c r="U190" i="1"/>
  <c r="AG48" i="1"/>
  <c r="AH48" i="1" s="1"/>
  <c r="AE48" i="1"/>
  <c r="AR48" i="1" s="1"/>
  <c r="AG68" i="1"/>
  <c r="AH68" i="1" s="1"/>
  <c r="AE68" i="1"/>
  <c r="O16" i="1"/>
  <c r="AE45" i="1"/>
  <c r="AG45" i="1"/>
  <c r="AH45" i="1" s="1"/>
  <c r="AE140" i="1"/>
  <c r="AG140" i="1"/>
  <c r="AH140" i="1" s="1"/>
  <c r="AE153" i="1"/>
  <c r="AG153" i="1"/>
  <c r="AH153" i="1" s="1"/>
  <c r="AG142" i="1"/>
  <c r="AH142" i="1" s="1"/>
  <c r="AE142" i="1"/>
  <c r="AE95" i="1"/>
  <c r="AG95" i="1"/>
  <c r="AH95" i="1" s="1"/>
  <c r="AE135" i="1"/>
  <c r="AG135" i="1"/>
  <c r="AH135" i="1" s="1"/>
  <c r="AE189" i="1"/>
  <c r="AG189" i="1"/>
  <c r="AH189" i="1" s="1"/>
  <c r="AE186" i="1"/>
  <c r="AG186" i="1"/>
  <c r="AH186" i="1" s="1"/>
  <c r="AG149" i="1"/>
  <c r="AH149" i="1" s="1"/>
  <c r="AE149" i="1"/>
  <c r="AE107" i="1"/>
  <c r="AG107" i="1"/>
  <c r="AH107" i="1" s="1"/>
  <c r="R9" i="1"/>
  <c r="AD9" i="1"/>
  <c r="X9" i="1"/>
  <c r="Y9" i="1" s="1"/>
  <c r="AE34" i="1"/>
  <c r="AG34" i="1"/>
  <c r="AH34" i="1" s="1"/>
  <c r="AR34" i="1" s="1"/>
  <c r="AE82" i="1"/>
  <c r="AG82" i="1"/>
  <c r="AH82" i="1" s="1"/>
  <c r="AE84" i="1"/>
  <c r="AG84" i="1"/>
  <c r="AH84" i="1" s="1"/>
  <c r="X18" i="1"/>
  <c r="Y18" i="1" s="1"/>
  <c r="AD18" i="1"/>
  <c r="AG112" i="1"/>
  <c r="AH112" i="1" s="1"/>
  <c r="AE112" i="1"/>
  <c r="AG176" i="1"/>
  <c r="AH176" i="1" s="1"/>
  <c r="AE176" i="1"/>
  <c r="AR176" i="1" s="1"/>
  <c r="AE146" i="1"/>
  <c r="AG146" i="1"/>
  <c r="AH146" i="1" s="1"/>
  <c r="AE143" i="1"/>
  <c r="AR143" i="1" s="1"/>
  <c r="AG143" i="1"/>
  <c r="AH143" i="1" s="1"/>
  <c r="AE122" i="1"/>
  <c r="AG122" i="1"/>
  <c r="AH122" i="1" s="1"/>
  <c r="AE25" i="1"/>
  <c r="AG25" i="1"/>
  <c r="AH25" i="1" s="1"/>
  <c r="AE161" i="1"/>
  <c r="AG161" i="1"/>
  <c r="AH161" i="1" s="1"/>
  <c r="AG181" i="1"/>
  <c r="AH181" i="1" s="1"/>
  <c r="AE181" i="1"/>
  <c r="AE72" i="1"/>
  <c r="AG72" i="1"/>
  <c r="AH72" i="1" s="1"/>
  <c r="U16" i="1"/>
  <c r="AD16" i="1"/>
  <c r="X16" i="1"/>
  <c r="Y16" i="1" s="1"/>
  <c r="AG128" i="1"/>
  <c r="AH128" i="1" s="1"/>
  <c r="AE128" i="1"/>
  <c r="AR128" i="1" s="1"/>
  <c r="AE60" i="1"/>
  <c r="AG60" i="1"/>
  <c r="AH60" i="1" s="1"/>
  <c r="AE157" i="1"/>
  <c r="AG157" i="1"/>
  <c r="AH157" i="1" s="1"/>
  <c r="AD92" i="1"/>
  <c r="X92" i="1"/>
  <c r="Y92" i="1" s="1"/>
  <c r="AD159" i="1"/>
  <c r="X159" i="1"/>
  <c r="AE108" i="1"/>
  <c r="AG108" i="1"/>
  <c r="AH108" i="1" s="1"/>
  <c r="AE168" i="1"/>
  <c r="AG168" i="1"/>
  <c r="AH168" i="1" s="1"/>
  <c r="AE131" i="1"/>
  <c r="AG131" i="1"/>
  <c r="AH131" i="1" s="1"/>
  <c r="AE96" i="1"/>
  <c r="AG96" i="1"/>
  <c r="AH96" i="1" s="1"/>
  <c r="AD174" i="1"/>
  <c r="X174" i="1"/>
  <c r="R26" i="1"/>
  <c r="X26" i="1"/>
  <c r="Y26" i="1" s="1"/>
  <c r="AD26" i="1"/>
  <c r="AG83" i="1"/>
  <c r="AH83" i="1" s="1"/>
  <c r="AE83" i="1"/>
  <c r="AR83" i="1" s="1"/>
  <c r="O190" i="1"/>
  <c r="AR53" i="1"/>
  <c r="AE37" i="1"/>
  <c r="AG37" i="1"/>
  <c r="AH37" i="1" s="1"/>
  <c r="AE27" i="1"/>
  <c r="AG27" i="1"/>
  <c r="AH27" i="1" s="1"/>
  <c r="AE8" i="1"/>
  <c r="AG8" i="1"/>
  <c r="AH8" i="1" s="1"/>
  <c r="O170" i="1"/>
  <c r="AD170" i="1"/>
  <c r="X170" i="1"/>
  <c r="Y170" i="1" s="1"/>
  <c r="R170" i="1"/>
  <c r="U170" i="1"/>
  <c r="X30" i="1"/>
  <c r="Y30" i="1" s="1"/>
  <c r="AD30" i="1"/>
  <c r="R30" i="1"/>
  <c r="U30" i="1"/>
  <c r="O30" i="1"/>
  <c r="AE187" i="1"/>
  <c r="AG187" i="1"/>
  <c r="AH187" i="1" s="1"/>
  <c r="R77" i="1"/>
  <c r="R159" i="1"/>
  <c r="S159" i="1" s="1"/>
  <c r="O92" i="1"/>
  <c r="AE64" i="1"/>
  <c r="AG64" i="1"/>
  <c r="AH64" i="1" s="1"/>
  <c r="AE10" i="1"/>
  <c r="AG10" i="1"/>
  <c r="AH10" i="1" s="1"/>
  <c r="AR51" i="1"/>
  <c r="AA190" i="1"/>
  <c r="AB190" i="1" s="1"/>
  <c r="AM77" i="1"/>
  <c r="AN77" i="1" s="1"/>
  <c r="AG115" i="1"/>
  <c r="AH115" i="1" s="1"/>
  <c r="AE115" i="1"/>
  <c r="AP16" i="1"/>
  <c r="AQ16" i="1" s="1"/>
  <c r="AG4" i="1"/>
  <c r="AH4" i="1" s="1"/>
  <c r="AE4" i="1"/>
  <c r="AR4" i="1" s="1"/>
  <c r="AE110" i="1"/>
  <c r="AG110" i="1"/>
  <c r="AH110" i="1" s="1"/>
  <c r="AE19" i="1"/>
  <c r="AG19" i="1"/>
  <c r="AH19" i="1" s="1"/>
  <c r="AG61" i="1"/>
  <c r="AH61" i="1" s="1"/>
  <c r="AE61" i="1"/>
  <c r="AR61" i="1" s="1"/>
  <c r="AG86" i="1"/>
  <c r="AH86" i="1" s="1"/>
  <c r="AE86" i="1"/>
  <c r="AR86" i="1" s="1"/>
  <c r="AA180" i="1"/>
  <c r="AB180" i="1" s="1"/>
  <c r="AA92" i="1"/>
  <c r="AB92" i="1" s="1"/>
  <c r="AE31" i="1"/>
  <c r="AG31" i="1"/>
  <c r="AH31" i="1" s="1"/>
  <c r="AA159" i="1"/>
  <c r="AB159" i="1" s="1"/>
  <c r="AR169" i="1" l="1"/>
  <c r="AR104" i="1"/>
  <c r="AR130" i="1"/>
  <c r="AR123" i="1"/>
  <c r="AR95" i="1"/>
  <c r="AR10" i="1"/>
  <c r="AR93" i="1"/>
  <c r="AR182" i="1"/>
  <c r="AR155" i="1"/>
  <c r="AR178" i="1"/>
  <c r="AR35" i="1"/>
  <c r="AR45" i="1"/>
  <c r="AR121" i="1"/>
  <c r="AR19" i="1"/>
  <c r="AR46" i="1"/>
  <c r="AR181" i="1"/>
  <c r="AR56" i="1"/>
  <c r="AR125" i="1"/>
  <c r="AR37" i="1"/>
  <c r="AR151" i="1"/>
  <c r="AR187" i="1"/>
  <c r="AR27" i="1"/>
  <c r="AR50" i="1"/>
  <c r="AR28" i="1"/>
  <c r="AR14" i="1"/>
  <c r="AR146" i="1"/>
  <c r="AR84" i="1"/>
  <c r="AR189" i="1"/>
  <c r="AR68" i="1"/>
  <c r="AR90" i="1"/>
  <c r="AR108" i="1"/>
  <c r="AR145" i="1"/>
  <c r="AR129" i="1"/>
  <c r="AR66" i="1"/>
  <c r="AR118" i="1"/>
  <c r="AR102" i="1"/>
  <c r="AR42" i="1"/>
  <c r="AR59" i="1"/>
  <c r="AR168" i="1"/>
  <c r="AR110" i="1"/>
  <c r="AR64" i="1"/>
  <c r="AR150" i="1"/>
  <c r="AR8" i="1"/>
  <c r="AR60" i="1"/>
  <c r="AR82" i="1"/>
  <c r="AR153" i="1"/>
  <c r="AR49" i="1"/>
  <c r="AR78" i="1"/>
  <c r="AR112" i="1"/>
  <c r="AR135" i="1"/>
  <c r="AR113" i="1"/>
  <c r="AR172" i="1"/>
  <c r="AR31" i="1"/>
  <c r="AR96" i="1"/>
  <c r="AR140" i="1"/>
  <c r="AR88" i="1"/>
  <c r="AR52" i="1"/>
  <c r="AR25" i="1"/>
  <c r="AR107" i="1"/>
  <c r="AR55" i="1"/>
  <c r="AR127" i="1"/>
  <c r="AR115" i="1"/>
  <c r="AR131" i="1"/>
  <c r="AR161" i="1"/>
  <c r="AR186" i="1"/>
  <c r="AR5" i="1"/>
  <c r="AR119" i="1"/>
  <c r="AR94" i="1"/>
  <c r="AR72" i="1"/>
  <c r="AR185" i="1"/>
  <c r="AR133" i="1"/>
  <c r="AR54" i="1"/>
  <c r="AR122" i="1"/>
  <c r="AR142" i="1"/>
  <c r="AR132" i="1"/>
  <c r="AR99" i="1"/>
  <c r="AR80" i="1"/>
  <c r="AE164" i="1"/>
  <c r="AR164" i="1" s="1"/>
  <c r="AG164" i="1"/>
  <c r="AR157" i="1"/>
  <c r="AE162" i="1"/>
  <c r="AG162" i="1"/>
  <c r="AH162" i="1" s="1"/>
  <c r="AE92" i="1"/>
  <c r="AG92" i="1"/>
  <c r="AH92" i="1" s="1"/>
  <c r="AE16" i="1"/>
  <c r="AG16" i="1"/>
  <c r="AH16" i="1" s="1"/>
  <c r="AG30" i="1"/>
  <c r="AH30" i="1" s="1"/>
  <c r="AE30" i="1"/>
  <c r="AR30" i="1" s="1"/>
  <c r="AE174" i="1"/>
  <c r="AG174" i="1"/>
  <c r="AH174" i="1" s="1"/>
  <c r="AE18" i="1"/>
  <c r="AG18" i="1"/>
  <c r="AH18" i="1" s="1"/>
  <c r="AG111" i="1"/>
  <c r="AH111" i="1" s="1"/>
  <c r="AE111" i="1"/>
  <c r="AR111" i="1" s="1"/>
  <c r="AE190" i="1"/>
  <c r="AG190" i="1"/>
  <c r="AH190" i="1" s="1"/>
  <c r="AR79" i="1"/>
  <c r="AE188" i="1"/>
  <c r="AG188" i="1"/>
  <c r="AH188" i="1" s="1"/>
  <c r="AG26" i="1"/>
  <c r="AH26" i="1" s="1"/>
  <c r="AE26" i="1"/>
  <c r="AG180" i="1"/>
  <c r="AH180" i="1" s="1"/>
  <c r="AE180" i="1"/>
  <c r="AR180" i="1" s="1"/>
  <c r="AE170" i="1"/>
  <c r="AG170" i="1"/>
  <c r="AH170" i="1" s="1"/>
  <c r="AE159" i="1"/>
  <c r="AR159" i="1" s="1"/>
  <c r="AG159" i="1"/>
  <c r="AE9" i="1"/>
  <c r="AG9" i="1"/>
  <c r="AH9" i="1" s="1"/>
  <c r="AR149" i="1"/>
  <c r="AE77" i="1"/>
  <c r="AG77" i="1"/>
  <c r="AH77" i="1" s="1"/>
  <c r="AR57" i="1"/>
  <c r="AR188" i="1" l="1"/>
  <c r="AR92" i="1"/>
  <c r="AR162" i="1"/>
  <c r="AR77" i="1"/>
  <c r="AR16" i="1"/>
  <c r="AR9" i="1"/>
  <c r="AR26" i="1"/>
  <c r="AR190" i="1"/>
  <c r="AR170" i="1"/>
  <c r="AR18" i="1"/>
  <c r="AR174" i="1"/>
</calcChain>
</file>

<file path=xl/comments1.xml><?xml version="1.0" encoding="utf-8"?>
<comments xmlns="http://schemas.openxmlformats.org/spreadsheetml/2006/main">
  <authors>
    <author/>
  </authors>
  <commentList>
    <comment ref="AI1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1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N4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4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4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4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F4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4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L4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4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N5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5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5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61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61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6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8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9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9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F9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9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L9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9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12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12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13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13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F13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13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L13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13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142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15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15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15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168" authorId="0" shapeId="0">
      <text>
        <r>
          <rPr>
            <sz val="1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<sst xmlns="http://schemas.openxmlformats.org/spreadsheetml/2006/main" count="1107" uniqueCount="1048">
  <si>
    <t>Timestamp</t>
  </si>
  <si>
    <t>Surname and Name</t>
  </si>
  <si>
    <t>Matricula</t>
  </si>
  <si>
    <t>1) In a large room only one significant reflection occurs in the first 80ms, the reverberant tail begins later. Compute the value of C80 (clarity) knowing that the room has a reverberation time of 1+F/10 s, a volume of 2000+E*100 m³, the distance of the receiver is 3+D/2 m, and the reflection is 3 dB weaker than the direct sound.</t>
  </si>
  <si>
    <t>2) In the case of the previous exercise, compute the value of Jlf (lateral fraction) knowing that the angle at which the reflection is arriving to the receiver is 30+F*6 degrees</t>
  </si>
  <si>
    <t>3) In the case of the previous two exercises, compute the value of G (strength).</t>
  </si>
  <si>
    <t>4) In a noiseless classroom, the value of the MTF (Modulation Transfer Function) is equal to 0.5+F/20. Recompute the value of MTF when noise is added, with a Signal/Noise ratio of 5+E dB</t>
  </si>
  <si>
    <t>6) An acoustic panel has a value of a=0.3+F/30 and of t=0.1. Compute the value of the apparent sound absorption coefficient α.</t>
  </si>
  <si>
    <t>8) A noise barrier has a value of α=0.3+E/20. Compute the attenuation of the reflected sound in dB (reflection loss).</t>
  </si>
  <si>
    <t>5) In a cubic room, with a side of 5+F/2 m and an average absorption coefficient α=0.1+D/100, a total of 100+EF sound absorbing panels is inserted, each of them has an equivalent absorption area A = 0.5+D/20 m². Compute the reverberant sound level reduction DL caused by the increase of sound absorption.</t>
  </si>
  <si>
    <t>7) Compute the value of r for the acoustic panel of previous exercise.</t>
  </si>
  <si>
    <t>9) The volume of a reverberation room is V=200+EF m³. The reverberation time was initially T1=6+F/10 s, but reduces to T2=2+E/10 s after inserting a surface of 10 m² of absorbing material. Compute the value of α of this material.</t>
  </si>
  <si>
    <t>10) The volume of a reverberation room is V=200+EF m³. The reverberation time was initially T1=6+F/10 s, but reduces to T2=2+E/10 s after inserting 10+D seats. Compute the value of A of each seat.</t>
  </si>
  <si>
    <t>luca.kubin@studenti.unipr.it</t>
  </si>
  <si>
    <t>Kubin Luca</t>
  </si>
  <si>
    <t>-5.2288 dB</t>
  </si>
  <si>
    <t>0.7427 s</t>
  </si>
  <si>
    <t>alessandro.caricati@studenti.unipr.it</t>
  </si>
  <si>
    <t>Caricati Alessandro</t>
  </si>
  <si>
    <t>0.3 dB</t>
  </si>
  <si>
    <t>22.9 dB</t>
  </si>
  <si>
    <t>giorgia.bruni@studenti.unipr.it</t>
  </si>
  <si>
    <t>Bruni Giorgia</t>
  </si>
  <si>
    <t>gabriele.carbognani@studenti.unipr.it</t>
  </si>
  <si>
    <t>Gabriele Carbognani</t>
  </si>
  <si>
    <t>8.4 dB</t>
  </si>
  <si>
    <t>roxanageorgiana.selariu@studenti.unipr.it</t>
  </si>
  <si>
    <t>Selariu Roxana Georgiana</t>
  </si>
  <si>
    <t>1.8709 dB</t>
  </si>
  <si>
    <t>eleonora.fiorini@studenti.unipr.it</t>
  </si>
  <si>
    <t>Fiorini Eleonora</t>
  </si>
  <si>
    <t>4.6 dB</t>
  </si>
  <si>
    <t>13.3 dB</t>
  </si>
  <si>
    <t>0.578 m2</t>
  </si>
  <si>
    <t>matus.kovalcik@studenti.unipr.it</t>
  </si>
  <si>
    <t>Kovalcik Matus</t>
  </si>
  <si>
    <t>-5.2 dB</t>
  </si>
  <si>
    <t>0.6157 m2</t>
  </si>
  <si>
    <t>alessandro.mazzoli@studenti.unipr.it</t>
  </si>
  <si>
    <t>Mazzoli Alessandro</t>
  </si>
  <si>
    <t>-1.5 dB</t>
  </si>
  <si>
    <t>7.8 dB</t>
  </si>
  <si>
    <t>1.115 m2</t>
  </si>
  <si>
    <t>nicola.pasini@studenti.unipr.it</t>
  </si>
  <si>
    <t>Pasini Nicola</t>
  </si>
  <si>
    <t>-6.0 dB</t>
  </si>
  <si>
    <t>10.4 dB</t>
  </si>
  <si>
    <t>0.301 m2</t>
  </si>
  <si>
    <t>francesco.bersella@studenti.unipr.it</t>
  </si>
  <si>
    <t>Bersella Francesco</t>
  </si>
  <si>
    <t>-4.6 dB</t>
  </si>
  <si>
    <t>10.0 dB</t>
  </si>
  <si>
    <t>0.360 m2</t>
  </si>
  <si>
    <t>ilaria.muriana@studenti.unipr.it</t>
  </si>
  <si>
    <t>Muriana Ilaria</t>
  </si>
  <si>
    <t>0.645 dB</t>
  </si>
  <si>
    <t>1.54 dB</t>
  </si>
  <si>
    <t>20 dB</t>
  </si>
  <si>
    <t>0.774 m2</t>
  </si>
  <si>
    <t>andrea.merlini@studenti.unipr.it</t>
  </si>
  <si>
    <t>Merlini Andrea</t>
  </si>
  <si>
    <t>0.7 dB</t>
  </si>
  <si>
    <t>0.57 m</t>
  </si>
  <si>
    <t>matteo.lagrotta@studenti.unipr.it</t>
  </si>
  <si>
    <t>La Grotta Matteo</t>
  </si>
  <si>
    <t>0.723 dB</t>
  </si>
  <si>
    <t>1.55 dB</t>
  </si>
  <si>
    <t>8.475 dB</t>
  </si>
  <si>
    <t>0.9894 m2</t>
  </si>
  <si>
    <t>alessio.biscaldi@studenti.unipr.it</t>
  </si>
  <si>
    <t>Biscaldi Alessio</t>
  </si>
  <si>
    <t>2.2 Db</t>
  </si>
  <si>
    <t>3.6 Db</t>
  </si>
  <si>
    <t>1.121 m2</t>
  </si>
  <si>
    <t>michele.policastro@studenti.unipr.it</t>
  </si>
  <si>
    <t>POLICASTRO MICHELE</t>
  </si>
  <si>
    <t>0.533 dB</t>
  </si>
  <si>
    <t>3.01 dB</t>
  </si>
  <si>
    <t>8,368 dB</t>
  </si>
  <si>
    <t>0.8240 m2</t>
  </si>
  <si>
    <t>antonio.mazzone@studenti.unipr.it</t>
  </si>
  <si>
    <t>Mazzone Antonio</t>
  </si>
  <si>
    <t/>
  </si>
  <si>
    <t>0.65 dB</t>
  </si>
  <si>
    <t>2.56 dB</t>
  </si>
  <si>
    <t>marianna.lorenzano@studenti.unipr.it</t>
  </si>
  <si>
    <t>Lorenzano Marianna</t>
  </si>
  <si>
    <t>0.7 dB</t>
  </si>
  <si>
    <t>3.9 dB</t>
  </si>
  <si>
    <t>1.11 m2</t>
  </si>
  <si>
    <t>dario.bugea@studenti.unipr.it</t>
  </si>
  <si>
    <t>Bugea Dario</t>
  </si>
  <si>
    <t>3.0 dB</t>
  </si>
  <si>
    <t>13.8 dB</t>
  </si>
  <si>
    <t>0.649 m2</t>
  </si>
  <si>
    <t>salvatore.fragapane@studenti.unipr.it</t>
  </si>
  <si>
    <t>FRAGAPANE SALVATORE</t>
  </si>
  <si>
    <t>4.5 dB</t>
  </si>
  <si>
    <t>francesco.canepari@studenti.unipr.it</t>
  </si>
  <si>
    <t>francesco canepari</t>
  </si>
  <si>
    <t>3.9 dB</t>
  </si>
  <si>
    <t>giacomo.fontana@studenti.unipr.it</t>
  </si>
  <si>
    <t>Fontana Giacomo</t>
  </si>
  <si>
    <t>2.8 dB</t>
  </si>
  <si>
    <t>3.01 dB</t>
  </si>
  <si>
    <t>4.306 dB</t>
  </si>
  <si>
    <t>1.057 m2</t>
  </si>
  <si>
    <t>davide.manetti@studenti.unipr.it</t>
  </si>
  <si>
    <t>Manetti Davide</t>
  </si>
  <si>
    <t>-3 dB</t>
  </si>
  <si>
    <t>20.7 dB</t>
  </si>
  <si>
    <t>diego.ingaglio@studenti.unipr.it</t>
  </si>
  <si>
    <t>Ingaglio Diego</t>
  </si>
  <si>
    <t>0.894 dB</t>
  </si>
  <si>
    <t>4.56 dB</t>
  </si>
  <si>
    <t>10.381 dB</t>
  </si>
  <si>
    <t>0.6289 m2</t>
  </si>
  <si>
    <t>luca.bernardi5@studenti.unipr.it</t>
  </si>
  <si>
    <t>bernardi luca</t>
  </si>
  <si>
    <t>0.1 dB</t>
  </si>
  <si>
    <t>2.2 dB</t>
  </si>
  <si>
    <t>victoria.turchi@studenti.unipr.it</t>
  </si>
  <si>
    <t>Turchi Victoria</t>
  </si>
  <si>
    <t>1.9 dB</t>
  </si>
  <si>
    <t>3.7 dB</t>
  </si>
  <si>
    <t>0.873 m2</t>
  </si>
  <si>
    <t>luca.fornaciari2@studenti.unipr.it</t>
  </si>
  <si>
    <t>Fornaciari Luca</t>
  </si>
  <si>
    <t>1.9 dB</t>
  </si>
  <si>
    <t>5.6 dB</t>
  </si>
  <si>
    <t>1.068 m2</t>
  </si>
  <si>
    <t>simone.fontana@studenti.unipr.it</t>
  </si>
  <si>
    <t>Fontana Simone</t>
  </si>
  <si>
    <t>1.5490 dB</t>
  </si>
  <si>
    <t>0.70125 m2</t>
  </si>
  <si>
    <t>federico.care@studenti.unipr.it</t>
  </si>
  <si>
    <t>Care Federico</t>
  </si>
  <si>
    <t>-3.5 dB</t>
  </si>
  <si>
    <t>13.01 dB</t>
  </si>
  <si>
    <t>alessio.gianno@studenti.unipr.it</t>
  </si>
  <si>
    <t>Gianno Alessio</t>
  </si>
  <si>
    <t>4 dB</t>
  </si>
  <si>
    <t>12.4882 dB</t>
  </si>
  <si>
    <t>0.8769 m2</t>
  </si>
  <si>
    <t>rebecca.leporati@studenti.unipr.it</t>
  </si>
  <si>
    <t>Leporati Rebecca</t>
  </si>
  <si>
    <t>0.714 dB</t>
  </si>
  <si>
    <t>0.43333 dB</t>
  </si>
  <si>
    <t>1.43 dB</t>
  </si>
  <si>
    <t>0.66 m2</t>
  </si>
  <si>
    <t>beatrice.angella@studenti.unipr.it</t>
  </si>
  <si>
    <t>Angella Beatrice</t>
  </si>
  <si>
    <t>2.2 dB</t>
  </si>
  <si>
    <t>20.1 dB</t>
  </si>
  <si>
    <t>patrizia.spagnoli@studenti.unipr.it</t>
  </si>
  <si>
    <t>Spagnoli Patrizia</t>
  </si>
  <si>
    <t>2.6 dB</t>
  </si>
  <si>
    <t>12.3 dB</t>
  </si>
  <si>
    <t>0.734 m2</t>
  </si>
  <si>
    <t>umberto.delvecchio@studenti.unipr.it</t>
  </si>
  <si>
    <t>Del Vecchio Umberto</t>
  </si>
  <si>
    <t>1.549 dB</t>
  </si>
  <si>
    <t>0.68419 m2</t>
  </si>
  <si>
    <t>riccardo.falavigna@studenti.unipr.it</t>
  </si>
  <si>
    <t>Falavigna Riccardo</t>
  </si>
  <si>
    <t>4.56 dB</t>
  </si>
  <si>
    <t>0.62 mq</t>
  </si>
  <si>
    <t>federica.asaro@studenti.unipr.it</t>
  </si>
  <si>
    <t>Asaro Federica</t>
  </si>
  <si>
    <t>4.5 dB</t>
  </si>
  <si>
    <t>13.9 dB</t>
  </si>
  <si>
    <t>0.606 m2</t>
  </si>
  <si>
    <t>edoardo.benassi@studenti.unipr.it</t>
  </si>
  <si>
    <t>Benassi Edoardo</t>
  </si>
  <si>
    <t>-3.4 dB</t>
  </si>
  <si>
    <t>12.2 dB</t>
  </si>
  <si>
    <t>andrea.gualdana@studenti.unipr.it</t>
  </si>
  <si>
    <t>Gualdana Andrea</t>
  </si>
  <si>
    <t>6.0 dB</t>
  </si>
  <si>
    <t>10.8 dB</t>
  </si>
  <si>
    <t>0.5977 m2</t>
  </si>
  <si>
    <t>simone.berardozzi@studenti.unipr.it</t>
  </si>
  <si>
    <t>Berardozzi Simone</t>
  </si>
  <si>
    <t>1.870 dB</t>
  </si>
  <si>
    <t>0.7303 m2</t>
  </si>
  <si>
    <t>nicholas.rizzelli@studenti.unipr.it</t>
  </si>
  <si>
    <t>Rizzelli Nicholas</t>
  </si>
  <si>
    <t>-2.2 dB</t>
  </si>
  <si>
    <t>10.4 dB</t>
  </si>
  <si>
    <t>stefano.cristoni@studenti.unipr.it</t>
  </si>
  <si>
    <t>Cristoni Stefano</t>
  </si>
  <si>
    <t>lorenzo.gandolfi@studenti.unipr.it</t>
  </si>
  <si>
    <t>Gandolfi Lorenzo</t>
  </si>
  <si>
    <t>chiara.errico@studenti.unipr.it</t>
  </si>
  <si>
    <t>Errico Chiara</t>
  </si>
  <si>
    <t>1.5 dB</t>
  </si>
  <si>
    <t>11.2 dB</t>
  </si>
  <si>
    <t>1.108 m2</t>
  </si>
  <si>
    <t>simone.anchora@studenti.unipr.it</t>
  </si>
  <si>
    <t>Anchora Simone</t>
  </si>
  <si>
    <t>8.3 db</t>
  </si>
  <si>
    <t>11.11 db</t>
  </si>
  <si>
    <t>serena.filippelli@studenti.unipr.it</t>
  </si>
  <si>
    <t>Filippelli Serena</t>
  </si>
  <si>
    <t>1.9 dB</t>
  </si>
  <si>
    <t>3.2 dB</t>
  </si>
  <si>
    <t>0.725 m2</t>
  </si>
  <si>
    <t>arturo.gaita@studenti.unipr.it</t>
  </si>
  <si>
    <t>Gaita Arturo</t>
  </si>
  <si>
    <t>2.3 dB</t>
  </si>
  <si>
    <t>14.0 dB</t>
  </si>
  <si>
    <t>4.6 dB</t>
  </si>
  <si>
    <t>4.3 dB</t>
  </si>
  <si>
    <t>0.158 m2</t>
  </si>
  <si>
    <t>daniel.pinardi@studenti.unipr.it</t>
  </si>
  <si>
    <t>Pinardi Daniel</t>
  </si>
  <si>
    <t>2.6 dB</t>
  </si>
  <si>
    <t>12.8 dB</t>
  </si>
  <si>
    <t>1.2 dB</t>
  </si>
  <si>
    <t>6.8 dB</t>
  </si>
  <si>
    <t>0.582 m2</t>
  </si>
  <si>
    <t>martina.quattrocchi@studenti.unipr.it</t>
  </si>
  <si>
    <t>Quattrocchi Martina</t>
  </si>
  <si>
    <t>2.2 dB</t>
  </si>
  <si>
    <t>5.3 dB</t>
  </si>
  <si>
    <t>0.703 m2</t>
  </si>
  <si>
    <t>francesco.concari@studenti.unipr.it</t>
  </si>
  <si>
    <t>Concari Francesco</t>
  </si>
  <si>
    <t>1.5 dB</t>
  </si>
  <si>
    <t>18.5 dB</t>
  </si>
  <si>
    <t>matteo.mingardi@studenti.unipr.it</t>
  </si>
  <si>
    <t>Mingardi Matteo</t>
  </si>
  <si>
    <t>2.3 dB</t>
  </si>
  <si>
    <t>13.7 dB</t>
  </si>
  <si>
    <t>2.2 dB</t>
  </si>
  <si>
    <t>4.7 dB</t>
  </si>
  <si>
    <t>0.529 m2</t>
  </si>
  <si>
    <t>toure.tiofouetsoking@studenti.unipr.it</t>
  </si>
  <si>
    <t>tiofouet soking toure</t>
  </si>
  <si>
    <t>6.2458dB</t>
  </si>
  <si>
    <t>0.5198m2</t>
  </si>
  <si>
    <t>luca.violi@studenti.unipr.it</t>
  </si>
  <si>
    <t>Violi Luca</t>
  </si>
  <si>
    <t>3.0 dB</t>
  </si>
  <si>
    <t>4.9 dB</t>
  </si>
  <si>
    <t>pietro.zermani@studenti.unipr.it</t>
  </si>
  <si>
    <t>Zermani Pietro</t>
  </si>
  <si>
    <t>0.6 dB</t>
  </si>
  <si>
    <t>-5.673 dB</t>
  </si>
  <si>
    <t>alessandro.volante@studenti.unipr.it</t>
  </si>
  <si>
    <t>volante alessandro</t>
  </si>
  <si>
    <t>2.6 dB</t>
  </si>
  <si>
    <t>14.0 dB</t>
  </si>
  <si>
    <t>3.5 dB</t>
  </si>
  <si>
    <t>5.6 dB</t>
  </si>
  <si>
    <t>0.792 m2</t>
  </si>
  <si>
    <t>andrea.mocerino@studenti.unipr.it</t>
  </si>
  <si>
    <t>Mocerino Andrea</t>
  </si>
  <si>
    <t>2.3 dB</t>
  </si>
  <si>
    <t>13.2 dB</t>
  </si>
  <si>
    <t>2.2 dB</t>
  </si>
  <si>
    <t>5.4 dB</t>
  </si>
  <si>
    <t>0.515 m2</t>
  </si>
  <si>
    <t>alberto.tanara@studenti.unipr.it</t>
  </si>
  <si>
    <t>Tanara Alberto</t>
  </si>
  <si>
    <t>1.5 dB</t>
  </si>
  <si>
    <t>5.7 dB</t>
  </si>
  <si>
    <t>0.672 m2</t>
  </si>
  <si>
    <t>jacopo.bacchiani@studenti.unipr.it</t>
  </si>
  <si>
    <t>Bacchiani Jacopo</t>
  </si>
  <si>
    <t>2.6 dB</t>
  </si>
  <si>
    <t>7.3 dB</t>
  </si>
  <si>
    <t>0.8222222 m2</t>
  </si>
  <si>
    <t>cristina.gazzi@studenti.unipr.it</t>
  </si>
  <si>
    <t>Gazzi Cristina</t>
  </si>
  <si>
    <t>1.9 dB</t>
  </si>
  <si>
    <t>11.5 dB</t>
  </si>
  <si>
    <t>0.866 m2</t>
  </si>
  <si>
    <t>enriko.shehi@studenti.unipr.it</t>
  </si>
  <si>
    <t>Shehi Enriko</t>
  </si>
  <si>
    <t>1.5 dB</t>
  </si>
  <si>
    <t>11.9 dB</t>
  </si>
  <si>
    <t>0.78413 m2</t>
  </si>
  <si>
    <t>nicola.polloni@studenti.unipr.it</t>
  </si>
  <si>
    <t>Polloni Nicola</t>
  </si>
  <si>
    <t>3.4 dB</t>
  </si>
  <si>
    <t>11.2 dB</t>
  </si>
  <si>
    <t>0.84816162 m2</t>
  </si>
  <si>
    <t>alessandro.basi3@studenti.unipr.it</t>
  </si>
  <si>
    <t>Basi Alessandro</t>
  </si>
  <si>
    <t>3.5 dB</t>
  </si>
  <si>
    <t>4.8 dB</t>
  </si>
  <si>
    <t>0.925 m2</t>
  </si>
  <si>
    <t>alessandro.piola@studenti.unipr.it</t>
  </si>
  <si>
    <t>Piola Alessandro</t>
  </si>
  <si>
    <t>1.5 dB</t>
  </si>
  <si>
    <t>3.0 dB</t>
  </si>
  <si>
    <t>0.7421015 m2</t>
  </si>
  <si>
    <t>chiara.ferrari23@studenti.unipr.it</t>
  </si>
  <si>
    <t>Ferrari Chiara</t>
  </si>
  <si>
    <t>5.2 dB</t>
  </si>
  <si>
    <t>8.5 dB</t>
  </si>
  <si>
    <t>0.6095 m2</t>
  </si>
  <si>
    <t>anna.ravanetti@studenti.unipr.it</t>
  </si>
  <si>
    <t>Ravanetti Anna</t>
  </si>
  <si>
    <t>1.9 dB</t>
  </si>
  <si>
    <t>5.2 dB</t>
  </si>
  <si>
    <t>0.690 m2</t>
  </si>
  <si>
    <t>gianluca.bisi@studenti.unipr.it</t>
  </si>
  <si>
    <t>Bisi Gianluca</t>
  </si>
  <si>
    <t>4.0 dB</t>
  </si>
  <si>
    <t>5.4 dB</t>
  </si>
  <si>
    <t>andre.ntemdieunono@studenti.unipr.it</t>
  </si>
  <si>
    <t>ntemdieu nono andre</t>
  </si>
  <si>
    <t>- 2.218 dB</t>
  </si>
  <si>
    <t>7.269 dB</t>
  </si>
  <si>
    <t>vincenzo.lippolis@studenti.unipr.it</t>
  </si>
  <si>
    <t>Lippolis Vincenzo</t>
  </si>
  <si>
    <t>0.4315 db</t>
  </si>
  <si>
    <t>2.2184 db</t>
  </si>
  <si>
    <t>mohamad.hamze@studenti.unipr.it</t>
  </si>
  <si>
    <t>Mohamad hamze</t>
  </si>
  <si>
    <t>2.4 dB</t>
  </si>
  <si>
    <t>13.6 dB</t>
  </si>
  <si>
    <t>1.5 dB</t>
  </si>
  <si>
    <t>6.7 dB</t>
  </si>
  <si>
    <t>0.562 m2</t>
  </si>
  <si>
    <t>ajay.singh@studenti.unipr.it</t>
  </si>
  <si>
    <t>Singh Ajay</t>
  </si>
  <si>
    <t>-2.21 dB</t>
  </si>
  <si>
    <t>-71.21 dB</t>
  </si>
  <si>
    <t>4.63 dB</t>
  </si>
  <si>
    <t>0.34 m</t>
  </si>
  <si>
    <t>domenico.ceraudo@studenti.unipr.it</t>
  </si>
  <si>
    <t>Ceraudo Domenico</t>
  </si>
  <si>
    <t>6 dB</t>
  </si>
  <si>
    <t>10.8 dB</t>
  </si>
  <si>
    <t>0.7969 m2</t>
  </si>
  <si>
    <t>alessandro.dattaro@studenti.unipr.it</t>
  </si>
  <si>
    <t>Dattaro Alessandro</t>
  </si>
  <si>
    <t>-1.9 dB</t>
  </si>
  <si>
    <t>12.6 dB</t>
  </si>
  <si>
    <t>bachar.rizk@studenti.unipr.it</t>
  </si>
  <si>
    <t>Rizk Bachar</t>
  </si>
  <si>
    <t>2.3 dB</t>
  </si>
  <si>
    <t>14.1 dB</t>
  </si>
  <si>
    <t>2.2 dB</t>
  </si>
  <si>
    <t>9.9 dB</t>
  </si>
  <si>
    <t>0.608 m2</t>
  </si>
  <si>
    <t>antonio.boccia@studenti.unipr.it</t>
  </si>
  <si>
    <t>BOCCIA ANTONIO</t>
  </si>
  <si>
    <t>6.0 dB</t>
  </si>
  <si>
    <t>11.2 dB</t>
  </si>
  <si>
    <t>0.7293 m2</t>
  </si>
  <si>
    <t>giuseppe.gabriele@studenti.unipr.it</t>
  </si>
  <si>
    <t>Gabriele Giuseppe</t>
  </si>
  <si>
    <t>1.9 dB</t>
  </si>
  <si>
    <t>3.9 dB</t>
  </si>
  <si>
    <t>1.02 m2</t>
  </si>
  <si>
    <t>daniela.matalone@studenti.unipr.it</t>
  </si>
  <si>
    <t>MATALONE DANIELA</t>
  </si>
  <si>
    <t>1.9 dB</t>
  </si>
  <si>
    <t>3.9 dB</t>
  </si>
  <si>
    <t>0.8631 m2</t>
  </si>
  <si>
    <t>florian.hoxhaj@studenti.unipr.it</t>
  </si>
  <si>
    <t>HOXHAJ FLORIAN</t>
  </si>
  <si>
    <t>5.2 dB</t>
  </si>
  <si>
    <t>11.0 dB</t>
  </si>
  <si>
    <t>0.6050 m2</t>
  </si>
  <si>
    <t>cristiano.trasatti@studenti.unipr.it</t>
  </si>
  <si>
    <t>Trasatti Cristiano</t>
  </si>
  <si>
    <t>4.6 dB</t>
  </si>
  <si>
    <t>5.554 dB</t>
  </si>
  <si>
    <t>0.65710872 m2</t>
  </si>
  <si>
    <t>alessandro.gabelli@studenti.unipr.it</t>
  </si>
  <si>
    <t>Gabelli Alessandro</t>
  </si>
  <si>
    <t>2.218 dB</t>
  </si>
  <si>
    <t>13.404 dB</t>
  </si>
  <si>
    <t>fabio.mazzara@studenti.unipr.it</t>
  </si>
  <si>
    <t>Mazzara Fabio</t>
  </si>
  <si>
    <t>2.2 dB</t>
  </si>
  <si>
    <t>11.3 dB</t>
  </si>
  <si>
    <t>0.971 m2</t>
  </si>
  <si>
    <t>andrea.cavatorta3@studenti.unipr.it</t>
  </si>
  <si>
    <t>Cavatorta Andrea</t>
  </si>
  <si>
    <t>1.87 dB</t>
  </si>
  <si>
    <t>11.01 dB</t>
  </si>
  <si>
    <t>0.6086 m2</t>
  </si>
  <si>
    <t>francesco.patrizi@studenti.unipr.it</t>
  </si>
  <si>
    <t>Patrizi Francesco</t>
  </si>
  <si>
    <t>1.87 dB</t>
  </si>
  <si>
    <t>3.99 dB</t>
  </si>
  <si>
    <t>0.701 m2</t>
  </si>
  <si>
    <t>tommaso.ferrari5@studenti.unipr.it</t>
  </si>
  <si>
    <t>Ferrari Tommaso</t>
  </si>
  <si>
    <t>0.9 dB</t>
  </si>
  <si>
    <t>7.5 dB</t>
  </si>
  <si>
    <t>0.96 m2</t>
  </si>
  <si>
    <t>francesco.putamorsi@studenti.unipr.it</t>
  </si>
  <si>
    <t>Putamorsi Francesco</t>
  </si>
  <si>
    <t>1.9 dB</t>
  </si>
  <si>
    <t>4.3 dB</t>
  </si>
  <si>
    <t>0.693 m2</t>
  </si>
  <si>
    <t>antoniomaria.paino@studenti.unipr.it</t>
  </si>
  <si>
    <t>Paino Antonio Maria</t>
  </si>
  <si>
    <t>2.5 dB</t>
  </si>
  <si>
    <t>6 dB</t>
  </si>
  <si>
    <t>8.5 db</t>
  </si>
  <si>
    <t>0.873 m2</t>
  </si>
  <si>
    <t>giuseppepio.frascolla@studenti.unipr.it</t>
  </si>
  <si>
    <t>Frascolla Giuseppe Pio</t>
  </si>
  <si>
    <t>-7.22 dB</t>
  </si>
  <si>
    <t>-76.22 dB</t>
  </si>
  <si>
    <t>6.63 dB</t>
  </si>
  <si>
    <t>angelogiuliano.colucci@studenti.unipr.it</t>
  </si>
  <si>
    <t>Colucci Angelo Giuliano</t>
  </si>
  <si>
    <t>2.5 dB</t>
  </si>
  <si>
    <t>3.9 dB</t>
  </si>
  <si>
    <t>9.4 dB</t>
  </si>
  <si>
    <t>0.853 m2</t>
  </si>
  <si>
    <t>laura.ferrari16@studenti.unipr.it</t>
  </si>
  <si>
    <t>Ferrari Laura</t>
  </si>
  <si>
    <t>-4.55 dB</t>
  </si>
  <si>
    <t>4.5 dB</t>
  </si>
  <si>
    <t>0.7094 m2</t>
  </si>
  <si>
    <t>matteo.delsoldato@studenti.unipr.it</t>
  </si>
  <si>
    <t>Delsoldato Matteo</t>
  </si>
  <si>
    <t>1.9 dB</t>
  </si>
  <si>
    <t>6.1 dB</t>
  </si>
  <si>
    <t>antonio.dellarovere@studenti.unipr.it</t>
  </si>
  <si>
    <t>Della Rovere Antonio</t>
  </si>
  <si>
    <t>4.1 dB</t>
  </si>
  <si>
    <t>1.5 dB</t>
  </si>
  <si>
    <t>5.26 dB</t>
  </si>
  <si>
    <t>0.9952 m2</t>
  </si>
  <si>
    <t>gloria.pietra@studenti.unipr.it</t>
  </si>
  <si>
    <t>Pietra Gloria</t>
  </si>
  <si>
    <t>3 dB</t>
  </si>
  <si>
    <t>6.9 dB</t>
  </si>
  <si>
    <t>0.974 m2</t>
  </si>
  <si>
    <t>geremia.negri@studenti.unipr.it</t>
  </si>
  <si>
    <t>Negri Geremia</t>
  </si>
  <si>
    <t>2.2 dB</t>
  </si>
  <si>
    <t>6.3 dB</t>
  </si>
  <si>
    <t>0.934 m2</t>
  </si>
  <si>
    <t>giulia.dalo@studenti.unipr.it</t>
  </si>
  <si>
    <t>D'Alò Giulia</t>
  </si>
  <si>
    <t>1.5490 dB</t>
  </si>
  <si>
    <t>11.8089 dB</t>
  </si>
  <si>
    <t>0.912258 m2</t>
  </si>
  <si>
    <t>alessandro.rodino@studenti.unipr.it</t>
  </si>
  <si>
    <t>Rodinò Alessandro</t>
  </si>
  <si>
    <t>1.87 dB</t>
  </si>
  <si>
    <t>4.3195 dB</t>
  </si>
  <si>
    <t>0.924 m2</t>
  </si>
  <si>
    <t>mattia.morini1@studenti.unipr.it</t>
  </si>
  <si>
    <t>Morini Mattia</t>
  </si>
  <si>
    <t>2.8 dB</t>
  </si>
  <si>
    <t>3.9 dB</t>
  </si>
  <si>
    <t>12.8 dB</t>
  </si>
  <si>
    <t>0.594 m2</t>
  </si>
  <si>
    <t>nicola.diemmi@studenti.unipr.it</t>
  </si>
  <si>
    <t>Diemmi Nicola</t>
  </si>
  <si>
    <t>4 dB</t>
  </si>
  <si>
    <t>5.9 dB</t>
  </si>
  <si>
    <t>vincenzo.delillo@studenti.unipr.it</t>
  </si>
  <si>
    <t>De Lillo Vincenzo</t>
  </si>
  <si>
    <t>-5.2 dB</t>
  </si>
  <si>
    <t>11.1 dB</t>
  </si>
  <si>
    <t>alessandro.canali1@studenti.unipr.it</t>
  </si>
  <si>
    <t>Canali Alessandro</t>
  </si>
  <si>
    <t>0.3 dB</t>
  </si>
  <si>
    <t>21.5 dB</t>
  </si>
  <si>
    <t>0.533 m2</t>
  </si>
  <si>
    <t>simona.moscato@studenti.unipr.it</t>
  </si>
  <si>
    <t>Moscato Simona</t>
  </si>
  <si>
    <t>2.6 dB</t>
  </si>
  <si>
    <t>12.2 dB</t>
  </si>
  <si>
    <t>0.735 m2</t>
  </si>
  <si>
    <t>selenia.donzella@studenti.unipr.it</t>
  </si>
  <si>
    <t>Donzella Selenia</t>
  </si>
  <si>
    <t>2.5 d</t>
  </si>
  <si>
    <t>13.5 dB</t>
  </si>
  <si>
    <t>0.744 m2</t>
  </si>
  <si>
    <t>alessandro.motta@studenti.unipr.it</t>
  </si>
  <si>
    <t>Motta Alessandro</t>
  </si>
  <si>
    <t>5.2 dB</t>
  </si>
  <si>
    <t>3.02 dB</t>
  </si>
  <si>
    <t>0.742 m2</t>
  </si>
  <si>
    <t>graziamaria.interdonato@studenti.unipr.it</t>
  </si>
  <si>
    <t>Interdonato Graziamaria</t>
  </si>
  <si>
    <t>0.6 dB</t>
  </si>
  <si>
    <t>3.8 dB</t>
  </si>
  <si>
    <t>4.19 m2</t>
  </si>
  <si>
    <t>alessio.tornati@studenti.unipr.it</t>
  </si>
  <si>
    <t>Tornati Alessio</t>
  </si>
  <si>
    <t>2.8 dB</t>
  </si>
  <si>
    <t>3.0 dB</t>
  </si>
  <si>
    <t>11.7 dB</t>
  </si>
  <si>
    <t>1.017 m2</t>
  </si>
  <si>
    <t>antonio.panariello@studenti.unipr.it</t>
  </si>
  <si>
    <t>Panariello Antonio</t>
  </si>
  <si>
    <t>2.5 dB</t>
  </si>
  <si>
    <t>3.5 dB</t>
  </si>
  <si>
    <t>3.7 dB</t>
  </si>
  <si>
    <t>0.563394 m2</t>
  </si>
  <si>
    <t>ana.khmaladze@studenti.unipr.it</t>
  </si>
  <si>
    <t>khmaladze ana</t>
  </si>
  <si>
    <t>10.3 dB</t>
  </si>
  <si>
    <t>0.3 dB</t>
  </si>
  <si>
    <t>0.6m2</t>
  </si>
  <si>
    <t>giuseppeomar.soloperto@studenti.unipr.it</t>
  </si>
  <si>
    <t>Soloperto Giuseppe Omar</t>
  </si>
  <si>
    <t>5.2287 dB</t>
  </si>
  <si>
    <t>14.90202 dB</t>
  </si>
  <si>
    <t>0.668204 m2</t>
  </si>
  <si>
    <t>nicola.ciati@studenti.unipr.it</t>
  </si>
  <si>
    <t>Ciati Nicola</t>
  </si>
  <si>
    <t>-4.6 dB</t>
  </si>
  <si>
    <t>11.4 dB</t>
  </si>
  <si>
    <t>0.568 m2</t>
  </si>
  <si>
    <t>giovanni.buccigrossi@studenti.unipr.it</t>
  </si>
  <si>
    <t>Buccigrossi Giovanni</t>
  </si>
  <si>
    <t>annalisa.upali@studenti.unipr.it</t>
  </si>
  <si>
    <t>Upali Annalisa</t>
  </si>
  <si>
    <t>1.9 dB</t>
  </si>
  <si>
    <t>4.3 dB</t>
  </si>
  <si>
    <t>0.693 m2</t>
  </si>
  <si>
    <t>mirco.campanini@studenti.unipr.it</t>
  </si>
  <si>
    <t>Campanini Mirco</t>
  </si>
  <si>
    <t>-1.8 dB</t>
  </si>
  <si>
    <t>18.6 dB</t>
  </si>
  <si>
    <t>0.84267399 m2</t>
  </si>
  <si>
    <t>alessandro.pettenati@studenti.unipr.it</t>
  </si>
  <si>
    <t>Pettenati Alessandro</t>
  </si>
  <si>
    <t>4.8 dB</t>
  </si>
  <si>
    <t>dimitri.simendjouomo@studenti.unipr.it</t>
  </si>
  <si>
    <t>DIMITRI SIME NDJOUOMO</t>
  </si>
  <si>
    <t>-1.549 dB</t>
  </si>
  <si>
    <t>3.84 dB</t>
  </si>
  <si>
    <t>0.761 m2</t>
  </si>
  <si>
    <t>carolina.diblasi@studenti.unipr.it</t>
  </si>
  <si>
    <t>Diblasi Carolina</t>
  </si>
  <si>
    <t>0.7 dB</t>
  </si>
  <si>
    <t>4.7 dB</t>
  </si>
  <si>
    <t>4.02 m2</t>
  </si>
  <si>
    <t>pietro.garieri@studenti.unipr.it</t>
  </si>
  <si>
    <t>Garieri Pietro</t>
  </si>
  <si>
    <t>0.899991 dB</t>
  </si>
  <si>
    <t>1.5490 dB</t>
  </si>
  <si>
    <t>8.5569 dB</t>
  </si>
  <si>
    <t>mariangelapia.colapinto@studenti.unipr.it</t>
  </si>
  <si>
    <t>Colapinto Mariangela</t>
  </si>
  <si>
    <t>6.021 dB</t>
  </si>
  <si>
    <t>9.33 dB</t>
  </si>
  <si>
    <t>0.47 m2</t>
  </si>
  <si>
    <t>alice.marazzi@studenti.unipr.it</t>
  </si>
  <si>
    <t>Marazzi Alice</t>
  </si>
  <si>
    <t>2.5 dB</t>
  </si>
  <si>
    <t>2.2 dB</t>
  </si>
  <si>
    <t>13.2 dB</t>
  </si>
  <si>
    <t>1 m2</t>
  </si>
  <si>
    <t>fabio.letizia@studenti.unipr.it</t>
  </si>
  <si>
    <t>Letizia Fabio</t>
  </si>
  <si>
    <t>2.6 dB</t>
  </si>
  <si>
    <t>14.3 dB</t>
  </si>
  <si>
    <t>0.7047 m2</t>
  </si>
  <si>
    <t>alessandro.opinto@studenti.unipr.it</t>
  </si>
  <si>
    <t>Opinto Alessandro</t>
  </si>
  <si>
    <t>-0.46 dB</t>
  </si>
  <si>
    <t>-69.46 dB</t>
  </si>
  <si>
    <t>5.45 dB</t>
  </si>
  <si>
    <t>lindalaura.nzeukangngouekam@studenti.unipr.it</t>
  </si>
  <si>
    <t>nzeukang ngouekam linda laura</t>
  </si>
  <si>
    <t>- 5.2287 dB</t>
  </si>
  <si>
    <t>0.45757 dB</t>
  </si>
  <si>
    <t>0.903529 m2</t>
  </si>
  <si>
    <t>nicolo.lacava@studenti.unipr.it</t>
  </si>
  <si>
    <t>Lacava Nicolò</t>
  </si>
  <si>
    <t>1.5490 dB</t>
  </si>
  <si>
    <t>8.4749 dB</t>
  </si>
  <si>
    <t>0.9894 m2</t>
  </si>
  <si>
    <t>manuel.lebovitz@studenti.unipr.it</t>
  </si>
  <si>
    <t>Lebovitz Manuel</t>
  </si>
  <si>
    <t>2.5 dB</t>
  </si>
  <si>
    <t>1.9 dB</t>
  </si>
  <si>
    <t>12.2 dB</t>
  </si>
  <si>
    <t>0.668 m2</t>
  </si>
  <si>
    <t>cecilia.maserati@studenti.unipr.it</t>
  </si>
  <si>
    <t>Maserati Cecilia</t>
  </si>
  <si>
    <t>2.6 dB</t>
  </si>
  <si>
    <t>12.9 dB</t>
  </si>
  <si>
    <t>0.715 m2</t>
  </si>
  <si>
    <t>davide.mattioli@studenti.unipr.it</t>
  </si>
  <si>
    <t>Mattioli Davide</t>
  </si>
  <si>
    <t>-8.27 dB</t>
  </si>
  <si>
    <t>3.468 dB</t>
  </si>
  <si>
    <t>5.377 dB</t>
  </si>
  <si>
    <t>0.505 m2</t>
  </si>
  <si>
    <t>fabio.cretella@studenti.unipr.it</t>
  </si>
  <si>
    <t>Cretella Fabio</t>
  </si>
  <si>
    <t>2.4 dB</t>
  </si>
  <si>
    <t>2.2185 dB</t>
  </si>
  <si>
    <t>3.649 dB</t>
  </si>
  <si>
    <t>0.7478 m2</t>
  </si>
  <si>
    <t>fabio.pezzi@studenti.unipr.it</t>
  </si>
  <si>
    <t>Pezzi Fabio</t>
  </si>
  <si>
    <t>0.3 dB</t>
  </si>
  <si>
    <t>0.591 m2</t>
  </si>
  <si>
    <t>helennathaly.fernandezleon@studenti.unipr.it</t>
  </si>
  <si>
    <t>Fernandez Leon Helen Nathaly</t>
  </si>
  <si>
    <t>2.8 dB</t>
  </si>
  <si>
    <t>3.5 dB</t>
  </si>
  <si>
    <t>9.9 dB</t>
  </si>
  <si>
    <t>1.6512 m2</t>
  </si>
  <si>
    <t>armenak.egunian@studenti.unipr.it</t>
  </si>
  <si>
    <t>Armenak Egunian</t>
  </si>
  <si>
    <t>7.4 dB</t>
  </si>
  <si>
    <t>10.60 dB</t>
  </si>
  <si>
    <t>0.3 dB</t>
  </si>
  <si>
    <t>0.628 m2</t>
  </si>
  <si>
    <t>jacopo.lauri@studenti.unipr.it</t>
  </si>
  <si>
    <t>Lauri Jacopo</t>
  </si>
  <si>
    <t>-6 dB</t>
  </si>
  <si>
    <t>8 dB</t>
  </si>
  <si>
    <t>0.527 m2</t>
  </si>
  <si>
    <t>alessandro.faraboli@studenti.unipr.it</t>
  </si>
  <si>
    <t>Faraboli Alessandro</t>
  </si>
  <si>
    <t>- 1.9 dB</t>
  </si>
  <si>
    <t>3.7 dB</t>
  </si>
  <si>
    <t>0.709 m2</t>
  </si>
  <si>
    <t>nicola.presti@studenti.unipr.it</t>
  </si>
  <si>
    <t>PRESTI NICOLA</t>
  </si>
  <si>
    <t>1.8 dB</t>
  </si>
  <si>
    <t>12.8 dB</t>
  </si>
  <si>
    <t>4.3 dB</t>
  </si>
  <si>
    <t>0.700 m2</t>
  </si>
  <si>
    <t>matteo.bolognini@studenti.unipr.it</t>
  </si>
  <si>
    <t>Bolognini Matteo</t>
  </si>
  <si>
    <t>5.2 dB</t>
  </si>
  <si>
    <t>0.849 m2</t>
  </si>
  <si>
    <t>alessio.siciliano@studenti.unipr.it</t>
  </si>
  <si>
    <t>Siciliano Alessio</t>
  </si>
  <si>
    <t>4.5 dB</t>
  </si>
  <si>
    <t>3.9 dB</t>
  </si>
  <si>
    <t>0.478 m2</t>
  </si>
  <si>
    <t>mohamad.bellialsoufi@studenti.unipr.it</t>
  </si>
  <si>
    <t>Mohamad belli al soufi</t>
  </si>
  <si>
    <t>-7.09 dB</t>
  </si>
  <si>
    <t>-76.09 dB</t>
  </si>
  <si>
    <t>1.5 dB</t>
  </si>
  <si>
    <t>6.2 dB</t>
  </si>
  <si>
    <t>0.507 m2</t>
  </si>
  <si>
    <t>filippo.grolli@studenti.unipr.it</t>
  </si>
  <si>
    <t>Grolli Filippo</t>
  </si>
  <si>
    <t>-3.083 dB</t>
  </si>
  <si>
    <t>-72.083 dB</t>
  </si>
  <si>
    <t>2.596 dB</t>
  </si>
  <si>
    <t>12.863 dB</t>
  </si>
  <si>
    <t>manuel.mari@studenti.unipr.it</t>
  </si>
  <si>
    <t>Mari Manuel</t>
  </si>
  <si>
    <t>1.9 dB</t>
  </si>
  <si>
    <t>0.668 m2</t>
  </si>
  <si>
    <t>emanuele.palo@studenti.unipr.it</t>
  </si>
  <si>
    <t>Palo Emanuele</t>
  </si>
  <si>
    <t>-5.2 dB</t>
  </si>
  <si>
    <t>5.7 dB</t>
  </si>
  <si>
    <t>0.773 m2</t>
  </si>
  <si>
    <t>mattiaantonio.costi@studenti.unipr.it</t>
  </si>
  <si>
    <t>Costi Mattia Antonio</t>
  </si>
  <si>
    <t>3.5 dB</t>
  </si>
  <si>
    <t>13.4 dB</t>
  </si>
  <si>
    <t>0.602 m2</t>
  </si>
  <si>
    <t>mattia.montanari1@studenti.unipr.it</t>
  </si>
  <si>
    <t>Montanari Mattia</t>
  </si>
  <si>
    <t>2.6 dB</t>
  </si>
  <si>
    <t>3.5 dB</t>
  </si>
  <si>
    <t>4.7 dB</t>
  </si>
  <si>
    <t>0.698 m2</t>
  </si>
  <si>
    <t>annalisa.marciano@studenti.unipr.it</t>
  </si>
  <si>
    <t>Marciano annalisa</t>
  </si>
  <si>
    <t>0.5 dB</t>
  </si>
  <si>
    <t>5.8 dB</t>
  </si>
  <si>
    <t>0.6769 mq</t>
  </si>
  <si>
    <t>stefano.ruini@studenti.unipr.it</t>
  </si>
  <si>
    <t>Ruini Stefano</t>
  </si>
  <si>
    <t>1.87 dB</t>
  </si>
  <si>
    <t>10.87 dB</t>
  </si>
  <si>
    <t>0.57 m2</t>
  </si>
  <si>
    <t>maurizio.bertolotti@studenti.unipr.it</t>
  </si>
  <si>
    <t>Bertolotti Maurizio</t>
  </si>
  <si>
    <t>-4.6 dB</t>
  </si>
  <si>
    <t>3.7 dB</t>
  </si>
  <si>
    <t>0.757 m2</t>
  </si>
  <si>
    <t>tinatin.pataridze@studenti.unipr.it</t>
  </si>
  <si>
    <t>Pataridze  Tinatin</t>
  </si>
  <si>
    <t>0.5 db</t>
  </si>
  <si>
    <t>18.3 db</t>
  </si>
  <si>
    <t>0.5 db</t>
  </si>
  <si>
    <t>0.676 m2</t>
  </si>
  <si>
    <t>marco.derosa@studenti.unipr.it</t>
  </si>
  <si>
    <t>De Rosa Marco</t>
  </si>
  <si>
    <t>-3.9 dB</t>
  </si>
  <si>
    <t>4,6 dB</t>
  </si>
  <si>
    <t>0.914 m2</t>
  </si>
  <si>
    <t>andrea.sarzimaddidini1@studenti.unipr.it</t>
  </si>
  <si>
    <t>1.2 dB</t>
  </si>
  <si>
    <t>4.6 dB</t>
  </si>
  <si>
    <t>0.748 m2</t>
  </si>
  <si>
    <t>francesco.rosi2@studenti.unipr.it</t>
  </si>
  <si>
    <t>Rosi Francesco</t>
  </si>
  <si>
    <t>-6.9 dB</t>
  </si>
  <si>
    <t>-5.2 dB</t>
  </si>
  <si>
    <t>4.6 dB</t>
  </si>
  <si>
    <t>0.6050 m2</t>
  </si>
  <si>
    <t>riccardo.fiori1@studenti.unipr.it</t>
  </si>
  <si>
    <t>Fiori Riccardo</t>
  </si>
  <si>
    <t>4 dB</t>
  </si>
  <si>
    <t>6.2 dB</t>
  </si>
  <si>
    <t>0.864 m2</t>
  </si>
  <si>
    <t>tomaso.fontanini@studenti.unipr.it</t>
  </si>
  <si>
    <t>Fontanini Tomaso</t>
  </si>
  <si>
    <t>-0.9 dB</t>
  </si>
  <si>
    <t>-6.0 dB</t>
  </si>
  <si>
    <t>5.2 dB</t>
  </si>
  <si>
    <t>0.8064 m2</t>
  </si>
  <si>
    <t>daniele.musiari@studenti.unipr.it</t>
  </si>
  <si>
    <t>Musiari Daniele</t>
  </si>
  <si>
    <t>4.0 dB</t>
  </si>
  <si>
    <t>4.5 dB</t>
  </si>
  <si>
    <t>annachiara.tonelli@studenti.unipr.it</t>
  </si>
  <si>
    <t>Tonelli Annachiara</t>
  </si>
  <si>
    <t>3.5 dB</t>
  </si>
  <si>
    <t>5.2 dB</t>
  </si>
  <si>
    <t>0.628 m2</t>
  </si>
  <si>
    <t>giulia.mazzetti1@studenti.unipr.it</t>
  </si>
  <si>
    <t>Mazzetti Giulia</t>
  </si>
  <si>
    <t>-6.05 dB</t>
  </si>
  <si>
    <t>2.2 dB</t>
  </si>
  <si>
    <t>4.9 dB</t>
  </si>
  <si>
    <t>0.713 m2</t>
  </si>
  <si>
    <t>roberta.zanelli1@studenti.unipr.it</t>
  </si>
  <si>
    <t>Zanelli Roberta</t>
  </si>
  <si>
    <t>4.6 dB</t>
  </si>
  <si>
    <t>7.6 dB</t>
  </si>
  <si>
    <t>0.064 m2</t>
  </si>
  <si>
    <t>luca.cattani1@studenti.unipr.it</t>
  </si>
  <si>
    <t>Cattani Luca</t>
  </si>
  <si>
    <t>-9.2 dB</t>
  </si>
  <si>
    <t>5.2 dB</t>
  </si>
  <si>
    <t>3 dB</t>
  </si>
  <si>
    <t>0.698 m2</t>
  </si>
  <si>
    <t>luca.carpi1@studenti.unipr.it</t>
  </si>
  <si>
    <t>Carpi Luca</t>
  </si>
  <si>
    <t>2.4 dB</t>
  </si>
  <si>
    <t>4.0 dB</t>
  </si>
  <si>
    <t>4.7 dB</t>
  </si>
  <si>
    <t>0,591 m2</t>
  </si>
  <si>
    <t>andrea.alberici1@studenti.unipr.it</t>
  </si>
  <si>
    <t>Alberici Andrea</t>
  </si>
  <si>
    <t>8 db</t>
  </si>
  <si>
    <t>6.32 db</t>
  </si>
  <si>
    <t>francesco.sgnaolin@studenti.unipr.it</t>
  </si>
  <si>
    <t>Sgnaolin Francesco</t>
  </si>
  <si>
    <t>8 dB</t>
  </si>
  <si>
    <t>1.17 dB</t>
  </si>
  <si>
    <t>pietro.bardiani@studenti.unipr.it</t>
  </si>
  <si>
    <t>Bardiani Pietro</t>
  </si>
  <si>
    <t>0.6 dB</t>
  </si>
  <si>
    <t>19.0 dB</t>
  </si>
  <si>
    <t>0.533 m2</t>
  </si>
  <si>
    <t>luca.pettenati@studenti.unipr.it</t>
  </si>
  <si>
    <t>Pettenati Luca</t>
  </si>
  <si>
    <t>-4.6 dB</t>
  </si>
  <si>
    <t>4.3 dB</t>
  </si>
  <si>
    <t>0.739 m2</t>
  </si>
  <si>
    <t>andrea.sfulcini@studenti.unipr.it</t>
  </si>
  <si>
    <t>Sfulcini Andrea</t>
  </si>
  <si>
    <t>0.4 dB</t>
  </si>
  <si>
    <t>21.2 dB</t>
  </si>
  <si>
    <t>0.62 m2</t>
  </si>
  <si>
    <t>giovanni.formicola@studenti.unipr.it</t>
  </si>
  <si>
    <t>Formicola Giovanni</t>
  </si>
  <si>
    <t>2.5 dB</t>
  </si>
  <si>
    <t>5.2 dB</t>
  </si>
  <si>
    <t>4 dB</t>
  </si>
  <si>
    <t>0.5880952381 m2</t>
  </si>
  <si>
    <t>angelica.meli@studenti.unipr.it</t>
  </si>
  <si>
    <t>meli angelica</t>
  </si>
  <si>
    <t>-7.9 dB</t>
  </si>
  <si>
    <t>1.9 dB</t>
  </si>
  <si>
    <t>3.71 dB</t>
  </si>
  <si>
    <t>0.71 m2</t>
  </si>
  <si>
    <t>ayatallah.abdou@studenti.unipr.it</t>
  </si>
  <si>
    <t>Abdou Ayat Allah</t>
  </si>
  <si>
    <t>2.5 dB</t>
  </si>
  <si>
    <t>3.9 dB</t>
  </si>
  <si>
    <t>3.9 dB</t>
  </si>
  <si>
    <t>1.197 m2</t>
  </si>
  <si>
    <t>francesco.prencipe@studenti.unipr.it</t>
  </si>
  <si>
    <t>Prencipe Francesco</t>
  </si>
  <si>
    <t>-8.27 dB</t>
  </si>
  <si>
    <t>-69.82 dB</t>
  </si>
  <si>
    <t>0.48 dB</t>
  </si>
  <si>
    <t>13.15 dB</t>
  </si>
  <si>
    <t>0.5621 m2</t>
  </si>
  <si>
    <t>davide.pacitti@studenti.unipr.it</t>
  </si>
  <si>
    <t>Pacitti Davide</t>
  </si>
  <si>
    <t>2.8 dB</t>
  </si>
  <si>
    <t>4 dB</t>
  </si>
  <si>
    <t>4.7 dB</t>
  </si>
  <si>
    <t>1.005464983 m2</t>
  </si>
  <si>
    <t>tommaso.everardweldon@studenti.unipr.it</t>
  </si>
  <si>
    <t>Everard Weldon Tommaso</t>
  </si>
  <si>
    <t>5.2 dB</t>
  </si>
  <si>
    <t>4.67 dB</t>
  </si>
  <si>
    <t>0.6453 m2</t>
  </si>
  <si>
    <t>giovanniluca.marullo@studenti.unipr.it</t>
  </si>
  <si>
    <t>Marullo Giovanni Luca</t>
  </si>
  <si>
    <t>2.8 dB</t>
  </si>
  <si>
    <t>2.2 dB</t>
  </si>
  <si>
    <t>4.7 dB</t>
  </si>
  <si>
    <t>1.095757574 m2</t>
  </si>
  <si>
    <t>francesco.plizza@studenti.unipr.it</t>
  </si>
  <si>
    <t>Plizza Francesco</t>
  </si>
  <si>
    <t>-3.5 dB</t>
  </si>
  <si>
    <t>12.6 dB</t>
  </si>
  <si>
    <t>0.977 m2</t>
  </si>
  <si>
    <t>andrea.spocci@studenti.unipr.it</t>
  </si>
  <si>
    <t>Spocci Andrea</t>
  </si>
  <si>
    <t>5.5 dB</t>
  </si>
  <si>
    <t>davide.musiari@studenti.unipr.it</t>
  </si>
  <si>
    <t>musiari davide</t>
  </si>
  <si>
    <t>4.1 dB</t>
  </si>
  <si>
    <t>ludovico.maini@studenti.unipr.it</t>
  </si>
  <si>
    <t>maini ludovico</t>
  </si>
  <si>
    <t>0.5 dB</t>
  </si>
  <si>
    <t>vincenzo.cafforio@studenti.unipr.it</t>
  </si>
  <si>
    <t>Cafforio Vincenzo</t>
  </si>
  <si>
    <t>3.47 dB</t>
  </si>
  <si>
    <t>6.03 dB</t>
  </si>
  <si>
    <t>0.610413 m2</t>
  </si>
  <si>
    <t>giovanni.zaccaria@studenti.unipr.it</t>
  </si>
  <si>
    <t>Zaccaria Giovanni</t>
  </si>
  <si>
    <t>0.35 dB</t>
  </si>
  <si>
    <t>12.18944 dB</t>
  </si>
  <si>
    <t>0.635138 m2</t>
  </si>
  <si>
    <t>fausto.bisanti@studenti.unipr.it</t>
  </si>
  <si>
    <t>Bisanti Fausto</t>
  </si>
  <si>
    <t>0.7 dB</t>
  </si>
  <si>
    <t>9.245297 dB</t>
  </si>
  <si>
    <t>0.893594 m2</t>
  </si>
  <si>
    <t>angelica.cantarelli@studenti.unipr.it</t>
  </si>
  <si>
    <t>Cantarelli Angelica</t>
  </si>
  <si>
    <t>2.6 dB</t>
  </si>
  <si>
    <t>4 dB</t>
  </si>
  <si>
    <t>5.4 dB</t>
  </si>
  <si>
    <t>0.699 m2</t>
  </si>
  <si>
    <t>pierpaolo.scarpino2@studenti.unipr.it</t>
  </si>
  <si>
    <t>Scarpino Pierpaolo</t>
  </si>
  <si>
    <t>-6.34 dB</t>
  </si>
  <si>
    <t>0.76 dB</t>
  </si>
  <si>
    <t>13.46 dB</t>
  </si>
  <si>
    <t>0.588 m2</t>
  </si>
  <si>
    <t>gianluigi.silvestri@studenti.unipr.it</t>
  </si>
  <si>
    <t>Silvestri Gianluigi</t>
  </si>
  <si>
    <t>3.7 dB</t>
  </si>
  <si>
    <t>mattia.mei@studenti.unipr.it</t>
  </si>
  <si>
    <t>Mei Mattia</t>
  </si>
  <si>
    <t>3.98 dB</t>
  </si>
  <si>
    <t>5 dB</t>
  </si>
  <si>
    <t>0.6848 m2</t>
  </si>
  <si>
    <t>laura.sani@studenti.unipr.it</t>
  </si>
  <si>
    <t>Sani Laura</t>
  </si>
  <si>
    <t>-6.7 dB</t>
  </si>
  <si>
    <t>-1.9 dB</t>
  </si>
  <si>
    <t>4.9 dB</t>
  </si>
  <si>
    <t>0.62 m2</t>
  </si>
  <si>
    <t>mattia.antonini1@studenti.unipr.it</t>
  </si>
  <si>
    <t>Antonini Mattia</t>
  </si>
  <si>
    <t>-6.3 dB</t>
  </si>
  <si>
    <t>-6.0 dB</t>
  </si>
  <si>
    <t>6.5 dB</t>
  </si>
  <si>
    <t>0.476 m2</t>
  </si>
  <si>
    <t>daniele.farina1@studenti.unipr.it</t>
  </si>
  <si>
    <t>Farina Daniele</t>
  </si>
  <si>
    <t>-2.3 dB</t>
  </si>
  <si>
    <t>-3.0 dB</t>
  </si>
  <si>
    <t>0.948 m2</t>
  </si>
  <si>
    <t>cecilia.monsellato@studenti.unipr.it</t>
  </si>
  <si>
    <t>Monsellato Cecilia</t>
  </si>
  <si>
    <t>3.46787 dB</t>
  </si>
  <si>
    <t>3.9 dB</t>
  </si>
  <si>
    <t>0.660638 m2</t>
  </si>
  <si>
    <t>lorenzo.gaudio@studenti.unipr.it</t>
  </si>
  <si>
    <t>-3.46 dB</t>
  </si>
  <si>
    <t>13.7 dB</t>
  </si>
  <si>
    <t>-1.9 dB</t>
  </si>
  <si>
    <t>0.81 m2</t>
  </si>
  <si>
    <t>marco.bassoli@studenti.unipr.it</t>
  </si>
  <si>
    <t>Bassoli Marco</t>
  </si>
  <si>
    <t>1.8 dB</t>
  </si>
  <si>
    <t>13.1 dB</t>
  </si>
  <si>
    <t>5.1 dB</t>
  </si>
  <si>
    <t>simone.dallasta1@studenti.unipr.it</t>
  </si>
  <si>
    <t>Dall'Asta Simone</t>
  </si>
  <si>
    <t>1.8 dB</t>
  </si>
  <si>
    <t>11.6 dB</t>
  </si>
  <si>
    <t>4.3 dB</t>
  </si>
  <si>
    <t>0.491 m2</t>
  </si>
  <si>
    <t>laura.ferrari10@studenti.unipr.it</t>
  </si>
  <si>
    <t>Ferrari Laura</t>
  </si>
  <si>
    <t>1.8 dB</t>
  </si>
  <si>
    <t>12.5 dB</t>
  </si>
  <si>
    <t>3.9 dB</t>
  </si>
  <si>
    <t>0.624 m2</t>
  </si>
  <si>
    <t>simone.kratter@studenti.unipr.it</t>
  </si>
  <si>
    <t>Kratter Simone</t>
  </si>
  <si>
    <t>1.96 db</t>
  </si>
  <si>
    <t>jesse.aggrey@studenti.unipr.it</t>
  </si>
  <si>
    <t>Aggrey Jesse</t>
  </si>
  <si>
    <t>1.9 dB</t>
  </si>
  <si>
    <t>3.8 dB</t>
  </si>
  <si>
    <t>0.76 m*2</t>
  </si>
  <si>
    <t>Golla Veera Varmajee</t>
  </si>
  <si>
    <t>2.632 dB</t>
  </si>
  <si>
    <t>Pandu Janaki Raju</t>
  </si>
  <si>
    <t>22.15 dB</t>
  </si>
  <si>
    <t>1.1224 m2</t>
  </si>
  <si>
    <t>0.93533 m2</t>
  </si>
  <si>
    <t>Madras Srikanth</t>
  </si>
  <si>
    <t>32.286 dB</t>
  </si>
  <si>
    <t>-2.59 dB</t>
  </si>
  <si>
    <t>1.273 m2</t>
  </si>
  <si>
    <t>1.06 m2</t>
  </si>
  <si>
    <t>Manuel Nithin</t>
  </si>
  <si>
    <t>12.1944 dB</t>
  </si>
  <si>
    <t>-5.2287 dB</t>
  </si>
  <si>
    <t>0.99988 m2</t>
  </si>
  <si>
    <t>0.52625 m2</t>
  </si>
  <si>
    <t>Palla Samuele</t>
  </si>
  <si>
    <t>-6.33 dB</t>
  </si>
  <si>
    <t>4.633 dB</t>
  </si>
  <si>
    <t>5.229 dB</t>
  </si>
  <si>
    <t>0.616 m2</t>
  </si>
  <si>
    <t>Ehsan Kiani</t>
  </si>
  <si>
    <t>6.47 dB</t>
  </si>
  <si>
    <t>Presence</t>
  </si>
  <si>
    <t>E-Mail</t>
  </si>
  <si>
    <t>N.</t>
  </si>
  <si>
    <t>A</t>
  </si>
  <si>
    <t>B</t>
  </si>
  <si>
    <t>C</t>
  </si>
  <si>
    <t>D</t>
  </si>
  <si>
    <t>E</t>
  </si>
  <si>
    <t>F</t>
  </si>
  <si>
    <t>Online Score</t>
  </si>
  <si>
    <t>Colour markers:</t>
  </si>
  <si>
    <t>Students who did only fill up the questionnaire on paper</t>
  </si>
  <si>
    <t>Improperly formatted values</t>
  </si>
  <si>
    <t>Matricula number was missing, it was recovered from previous tests</t>
  </si>
  <si>
    <t>Gaudio Lorenzo</t>
  </si>
  <si>
    <t>sarzi maddidini andrea</t>
  </si>
  <si>
    <t>Correct Answer</t>
  </si>
  <si>
    <t>Score</t>
  </si>
  <si>
    <r>
      <t xml:space="preserve">1) In a large room only one significant reflection occurs in the first 80ms, the reverberant tail begins later. Compute the value of </t>
    </r>
    <r>
      <rPr>
        <b/>
        <sz val="12"/>
        <rFont val="Calibri"/>
        <family val="2"/>
      </rPr>
      <t>C80</t>
    </r>
    <r>
      <rPr>
        <sz val="12"/>
        <rFont val="Calibri"/>
        <family val="2"/>
      </rPr>
      <t xml:space="preserve"> (clarity) knowing that the room has a reverberation time of 1+F/10 s, a volume of 2000+E*100 m³, the distance of the receiver is 3+D/2 m, and the reflection is 3 dB weaker than the direct sound.</t>
    </r>
  </si>
  <si>
    <r>
      <t xml:space="preserve">2) In the case of the previous exercise, compute the value of </t>
    </r>
    <r>
      <rPr>
        <b/>
        <sz val="12"/>
        <rFont val="Calibri"/>
        <family val="2"/>
      </rPr>
      <t>Jlf</t>
    </r>
    <r>
      <rPr>
        <sz val="12"/>
        <rFont val="Calibri"/>
        <family val="2"/>
      </rPr>
      <t xml:space="preserve"> (lateral fraction) knowing that the angle at which the reflection is arriving to the receiver is 30+F*6 degrees</t>
    </r>
  </si>
  <si>
    <t xml:space="preserve"> </t>
  </si>
  <si>
    <r>
      <t xml:space="preserve">3) In the case of the previous two exercises, compute the value of </t>
    </r>
    <r>
      <rPr>
        <b/>
        <sz val="12"/>
        <rFont val="Calibri"/>
        <family val="2"/>
      </rPr>
      <t>G</t>
    </r>
    <r>
      <rPr>
        <sz val="12"/>
        <rFont val="Calibri"/>
        <family val="2"/>
      </rPr>
      <t xml:space="preserve"> (strength).</t>
    </r>
  </si>
  <si>
    <r>
      <t xml:space="preserve">4) In a noiseless classroom, the value of the </t>
    </r>
    <r>
      <rPr>
        <b/>
        <sz val="12"/>
        <rFont val="Calibri"/>
        <family val="2"/>
      </rPr>
      <t>MTF</t>
    </r>
    <r>
      <rPr>
        <sz val="12"/>
        <rFont val="Calibri"/>
        <family val="2"/>
      </rPr>
      <t xml:space="preserve"> (Modulation Transfer Function) is equal to 0.5+F/20. Recompute the value of MTF when noise is added, with a Signal/Noise ratio of 5+E dB</t>
    </r>
  </si>
  <si>
    <r>
      <t xml:space="preserve">5) In a cubic room, with a side of 5+F/2 m and an average absorption coefficient </t>
    </r>
    <r>
      <rPr>
        <b/>
        <sz val="12"/>
        <rFont val="Calibri"/>
        <family val="2"/>
      </rPr>
      <t>α</t>
    </r>
    <r>
      <rPr>
        <sz val="12"/>
        <rFont val="Calibri"/>
        <family val="2"/>
      </rPr>
      <t xml:space="preserve">=0.1+D/100, a total of 100+EF sound absorbing panels is inserted, each of them has an equivalent absorption area </t>
    </r>
    <r>
      <rPr>
        <b/>
        <sz val="12"/>
        <rFont val="Calibri"/>
        <family val="2"/>
      </rPr>
      <t>A</t>
    </r>
    <r>
      <rPr>
        <sz val="12"/>
        <rFont val="Calibri"/>
        <family val="2"/>
      </rPr>
      <t xml:space="preserve"> = 0.5+D/20 m². Compute the reverberant sound level reduction </t>
    </r>
    <r>
      <rPr>
        <b/>
        <sz val="12"/>
        <rFont val="Calibri"/>
        <family val="2"/>
      </rPr>
      <t>DL</t>
    </r>
    <r>
      <rPr>
        <sz val="12"/>
        <rFont val="Calibri"/>
        <family val="2"/>
      </rPr>
      <t xml:space="preserve"> caused by the increase of sound absorption.</t>
    </r>
  </si>
  <si>
    <r>
      <t xml:space="preserve">6) An acoustic panel has a value of </t>
    </r>
    <r>
      <rPr>
        <b/>
        <sz val="12"/>
        <rFont val="Calibri"/>
        <family val="2"/>
      </rPr>
      <t>a</t>
    </r>
    <r>
      <rPr>
        <sz val="12"/>
        <rFont val="Calibri"/>
        <family val="2"/>
      </rPr>
      <t xml:space="preserve">=0.3+F/30 and of </t>
    </r>
    <r>
      <rPr>
        <b/>
        <sz val="12"/>
        <rFont val="Calibri"/>
        <family val="2"/>
      </rPr>
      <t>t</t>
    </r>
    <r>
      <rPr>
        <sz val="12"/>
        <rFont val="Calibri"/>
        <family val="2"/>
      </rPr>
      <t xml:space="preserve">=0.1. Compute the value of the apparent sound absorption coefficient </t>
    </r>
    <r>
      <rPr>
        <b/>
        <sz val="12"/>
        <rFont val="Calibri"/>
        <family val="2"/>
      </rPr>
      <t>α</t>
    </r>
    <r>
      <rPr>
        <sz val="12"/>
        <rFont val="Calibri"/>
        <family val="2"/>
      </rPr>
      <t>.</t>
    </r>
  </si>
  <si>
    <r>
      <t xml:space="preserve">7) Compute the value of </t>
    </r>
    <r>
      <rPr>
        <b/>
        <sz val="12"/>
        <rFont val="Calibri"/>
        <family val="2"/>
      </rPr>
      <t>r</t>
    </r>
    <r>
      <rPr>
        <sz val="12"/>
        <rFont val="Calibri"/>
        <family val="2"/>
      </rPr>
      <t xml:space="preserve"> for the acoustic panel of previous exercise.</t>
    </r>
  </si>
  <si>
    <r>
      <t xml:space="preserve">8) A noise barrier has a value of </t>
    </r>
    <r>
      <rPr>
        <b/>
        <sz val="12"/>
        <rFont val="Calibri"/>
        <family val="2"/>
      </rPr>
      <t>α</t>
    </r>
    <r>
      <rPr>
        <sz val="12"/>
        <rFont val="Calibri"/>
        <family val="2"/>
      </rPr>
      <t xml:space="preserve">=0.3+E/20. Compute the attenuation of the reflected sound </t>
    </r>
    <r>
      <rPr>
        <b/>
        <sz val="12"/>
        <rFont val="Calibri"/>
        <family val="2"/>
      </rPr>
      <t>DL</t>
    </r>
    <r>
      <rPr>
        <sz val="12"/>
        <rFont val="Calibri"/>
        <family val="2"/>
      </rPr>
      <t xml:space="preserve"> in dB (reflection loss).</t>
    </r>
  </si>
  <si>
    <r>
      <t xml:space="preserve">10) The volume of a reverberation room is </t>
    </r>
    <r>
      <rPr>
        <b/>
        <sz val="12"/>
        <rFont val="Calibri"/>
        <family val="2"/>
      </rPr>
      <t>V</t>
    </r>
    <r>
      <rPr>
        <sz val="12"/>
        <rFont val="Calibri"/>
        <family val="2"/>
      </rPr>
      <t xml:space="preserve">=200+EF m³. The reverberation time was initially </t>
    </r>
    <r>
      <rPr>
        <b/>
        <sz val="12"/>
        <rFont val="Calibri"/>
        <family val="2"/>
      </rPr>
      <t>T1</t>
    </r>
    <r>
      <rPr>
        <sz val="12"/>
        <rFont val="Calibri"/>
        <family val="2"/>
      </rPr>
      <t xml:space="preserve">=6+F/10 s, but reduces to </t>
    </r>
    <r>
      <rPr>
        <b/>
        <sz val="12"/>
        <rFont val="Calibri"/>
        <family val="2"/>
      </rPr>
      <t>T2</t>
    </r>
    <r>
      <rPr>
        <sz val="12"/>
        <rFont val="Calibri"/>
        <family val="2"/>
      </rPr>
      <t xml:space="preserve">=2+E/10 s after inserting 10+D seats. Compute the value of </t>
    </r>
    <r>
      <rPr>
        <b/>
        <sz val="12"/>
        <rFont val="Calibri"/>
        <family val="2"/>
      </rPr>
      <t>A</t>
    </r>
    <r>
      <rPr>
        <sz val="12"/>
        <rFont val="Calibri"/>
        <family val="2"/>
      </rPr>
      <t xml:space="preserve"> of each seat.</t>
    </r>
  </si>
  <si>
    <t>Sample Solution</t>
  </si>
  <si>
    <t>Lw =</t>
  </si>
  <si>
    <t>dB</t>
  </si>
  <si>
    <t>d =</t>
  </si>
  <si>
    <t>m</t>
  </si>
  <si>
    <t>T =</t>
  </si>
  <si>
    <t>s</t>
  </si>
  <si>
    <t>V =</t>
  </si>
  <si>
    <t>m3</t>
  </si>
  <si>
    <t>Ldir =</t>
  </si>
  <si>
    <t>Lrif =</t>
  </si>
  <si>
    <t>Lrev =</t>
  </si>
  <si>
    <t>C80 =</t>
  </si>
  <si>
    <t>Alfa =</t>
  </si>
  <si>
    <t>degree</t>
  </si>
  <si>
    <t>Jlf =</t>
  </si>
  <si>
    <t>SPL =</t>
  </si>
  <si>
    <t>G =</t>
  </si>
  <si>
    <t>MTF' =</t>
  </si>
  <si>
    <t>MTF =</t>
  </si>
  <si>
    <t>S/N =</t>
  </si>
  <si>
    <t>A1 =</t>
  </si>
  <si>
    <t>α =</t>
  </si>
  <si>
    <t>S =</t>
  </si>
  <si>
    <t>m2</t>
  </si>
  <si>
    <t>N =</t>
  </si>
  <si>
    <t>A =</t>
  </si>
  <si>
    <t>A2 =</t>
  </si>
  <si>
    <t>DL =</t>
  </si>
  <si>
    <t>t =</t>
  </si>
  <si>
    <t>a =</t>
  </si>
  <si>
    <t>α = a + t</t>
  </si>
  <si>
    <t>r =</t>
  </si>
  <si>
    <t>r = 1 - α</t>
  </si>
  <si>
    <r>
      <t>DL = -10·</t>
    </r>
    <r>
      <rPr>
        <b/>
        <sz val="18"/>
        <rFont val="Arial"/>
        <family val="2"/>
      </rPr>
      <t>log(1-α)</t>
    </r>
  </si>
  <si>
    <t>Matricula =</t>
  </si>
  <si>
    <r>
      <t>DL = 10 log (A</t>
    </r>
    <r>
      <rPr>
        <b/>
        <vertAlign val="subscript"/>
        <sz val="18"/>
        <color rgb="FF000000"/>
        <rFont val="Times New Roman"/>
        <family val="1"/>
      </rPr>
      <t>2</t>
    </r>
    <r>
      <rPr>
        <b/>
        <sz val="18"/>
        <color rgb="FF000000"/>
        <rFont val="Times New Roman"/>
        <family val="1"/>
      </rPr>
      <t>/ A</t>
    </r>
    <r>
      <rPr>
        <b/>
        <vertAlign val="subscript"/>
        <sz val="18"/>
        <color rgb="FF000000"/>
        <rFont val="Times New Roman"/>
        <family val="1"/>
      </rPr>
      <t>1</t>
    </r>
    <r>
      <rPr>
        <b/>
        <sz val="18"/>
        <color rgb="FF000000"/>
        <rFont val="Times New Roman"/>
        <family val="1"/>
      </rPr>
      <t xml:space="preserve">)            </t>
    </r>
  </si>
  <si>
    <t>T1 =</t>
  </si>
  <si>
    <t>T2 =</t>
  </si>
  <si>
    <r>
      <t>α = (A</t>
    </r>
    <r>
      <rPr>
        <b/>
        <vertAlign val="subscript"/>
        <sz val="18"/>
        <rFont val="Calibri"/>
        <family val="2"/>
      </rPr>
      <t>2</t>
    </r>
    <r>
      <rPr>
        <b/>
        <sz val="18"/>
        <rFont val="Calibri"/>
        <family val="2"/>
      </rPr>
      <t xml:space="preserve"> - A</t>
    </r>
    <r>
      <rPr>
        <b/>
        <vertAlign val="subscript"/>
        <sz val="18"/>
        <rFont val="Calibri"/>
        <family val="2"/>
      </rPr>
      <t>1</t>
    </r>
    <r>
      <rPr>
        <b/>
        <sz val="18"/>
        <rFont val="Calibri"/>
        <family val="2"/>
      </rPr>
      <t>) / Sx</t>
    </r>
  </si>
  <si>
    <t>Nseats =</t>
  </si>
  <si>
    <t>A1seat =</t>
  </si>
  <si>
    <r>
      <t>A</t>
    </r>
    <r>
      <rPr>
        <b/>
        <vertAlign val="subscript"/>
        <sz val="18"/>
        <rFont val="Calibri"/>
        <family val="2"/>
      </rPr>
      <t>1seat</t>
    </r>
    <r>
      <rPr>
        <b/>
        <sz val="18"/>
        <rFont val="Calibri"/>
        <family val="2"/>
      </rPr>
      <t xml:space="preserve"> = (A</t>
    </r>
    <r>
      <rPr>
        <b/>
        <vertAlign val="subscript"/>
        <sz val="18"/>
        <rFont val="Calibri"/>
        <family val="2"/>
      </rPr>
      <t>2</t>
    </r>
    <r>
      <rPr>
        <b/>
        <sz val="18"/>
        <rFont val="Calibri"/>
        <family val="2"/>
      </rPr>
      <t xml:space="preserve"> - A</t>
    </r>
    <r>
      <rPr>
        <b/>
        <vertAlign val="subscript"/>
        <sz val="18"/>
        <rFont val="Calibri"/>
        <family val="2"/>
      </rPr>
      <t>1</t>
    </r>
    <r>
      <rPr>
        <b/>
        <sz val="18"/>
        <rFont val="Calibri"/>
        <family val="2"/>
      </rPr>
      <t>) / N</t>
    </r>
    <r>
      <rPr>
        <b/>
        <vertAlign val="subscript"/>
        <sz val="18"/>
        <rFont val="Calibri"/>
        <family val="2"/>
      </rPr>
      <t>seats</t>
    </r>
  </si>
  <si>
    <t>-5.84 dB</t>
  </si>
  <si>
    <t>0.6915 m2</t>
  </si>
  <si>
    <t>0.94 m2</t>
  </si>
  <si>
    <t>10.742 m2</t>
  </si>
  <si>
    <t>0.758 m2</t>
  </si>
  <si>
    <t>1.005 m2</t>
  </si>
  <si>
    <t>0.764 m2</t>
  </si>
  <si>
    <t>0.415 m2</t>
  </si>
  <si>
    <t>0.536 m2</t>
  </si>
  <si>
    <t>0.793 m2</t>
  </si>
  <si>
    <t>0.754 m2</t>
  </si>
  <si>
    <t>0.612 m2</t>
  </si>
  <si>
    <t>0.5803 m2</t>
  </si>
  <si>
    <t>0.659 m2</t>
  </si>
  <si>
    <t>0.643 m2</t>
  </si>
  <si>
    <t>0.796 m2</t>
  </si>
  <si>
    <t>0.6111 m2</t>
  </si>
  <si>
    <t>0.762 m2</t>
  </si>
  <si>
    <t>0.827 m2</t>
  </si>
  <si>
    <t>0.722 m2</t>
  </si>
  <si>
    <t>0.6791 m2</t>
  </si>
  <si>
    <t>0.79 m2</t>
  </si>
  <si>
    <t>Total Score</t>
  </si>
  <si>
    <t>Applied Acoustics - in class test of 07/11/2014</t>
  </si>
  <si>
    <t>Max =</t>
  </si>
  <si>
    <t>of</t>
  </si>
  <si>
    <t>0.610 m2</t>
  </si>
  <si>
    <t>l =</t>
  </si>
  <si>
    <r>
      <t xml:space="preserve">9) The volume of a reverberation room is </t>
    </r>
    <r>
      <rPr>
        <b/>
        <sz val="12"/>
        <rFont val="Calibri"/>
        <family val="2"/>
      </rPr>
      <t>V</t>
    </r>
    <r>
      <rPr>
        <sz val="12"/>
        <rFont val="Calibri"/>
        <family val="2"/>
      </rPr>
      <t xml:space="preserve">=200+EF m³. The reverberation time was initially </t>
    </r>
    <r>
      <rPr>
        <b/>
        <sz val="12"/>
        <rFont val="Calibri"/>
        <family val="2"/>
      </rPr>
      <t>T1</t>
    </r>
    <r>
      <rPr>
        <sz val="12"/>
        <rFont val="Calibri"/>
        <family val="2"/>
      </rPr>
      <t xml:space="preserve">=6+F/10 s, but reduces to </t>
    </r>
    <r>
      <rPr>
        <b/>
        <sz val="12"/>
        <rFont val="Calibri"/>
        <family val="2"/>
      </rPr>
      <t>T2</t>
    </r>
    <r>
      <rPr>
        <sz val="12"/>
        <rFont val="Calibri"/>
        <family val="2"/>
      </rPr>
      <t xml:space="preserve">=2+E/10 s after inserting a surface of 10 m² of absorbing material. Compute the value of </t>
    </r>
    <r>
      <rPr>
        <b/>
        <sz val="12"/>
        <rFont val="Calibri"/>
        <family val="2"/>
      </rPr>
      <t>α</t>
    </r>
    <r>
      <rPr>
        <sz val="12"/>
        <rFont val="Calibri"/>
        <family val="2"/>
      </rPr>
      <t xml:space="preserve"> of this material. (ISO 354)</t>
    </r>
  </si>
  <si>
    <t>Wrong sign (no error, but just this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</si>
</sst>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yy\ h:mm:ss"/>
    <numFmt numFmtId="165" formatCode="#,###"/>
    <numFmt numFmtId="166" formatCode="0.0000"/>
    <numFmt numFmtId="167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800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0"/>
      <name val="Calibri"/>
      <family val="2"/>
    </font>
    <font>
      <b/>
      <sz val="1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8"/>
      <name val="Arial"/>
      <family val="2"/>
    </font>
    <font>
      <b/>
      <sz val="18"/>
      <color rgb="FF000000"/>
      <name val="Times New Roman"/>
      <family val="1"/>
    </font>
    <font>
      <b/>
      <vertAlign val="subscript"/>
      <sz val="18"/>
      <color rgb="FF000000"/>
      <name val="Times New Roman"/>
      <family val="1"/>
    </font>
    <font>
      <b/>
      <vertAlign val="subscript"/>
      <sz val="1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5" fillId="5" borderId="0" xfId="0" applyFont="1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5" fillId="5" borderId="2" xfId="0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1" fillId="0" borderId="2" xfId="0" applyNumberFormat="1" applyFont="1" applyBorder="1" applyAlignment="1"/>
    <xf numFmtId="0" fontId="1" fillId="0" borderId="2" xfId="0" applyFont="1" applyBorder="1" applyAlignment="1"/>
    <xf numFmtId="166" fontId="7" fillId="0" borderId="2" xfId="0" applyNumberFormat="1" applyFont="1" applyBorder="1" applyAlignment="1">
      <alignment horizontal="center"/>
    </xf>
    <xf numFmtId="0" fontId="1" fillId="6" borderId="2" xfId="0" applyFont="1" applyFill="1" applyBorder="1" applyAlignment="1"/>
    <xf numFmtId="165" fontId="1" fillId="0" borderId="2" xfId="0" applyNumberFormat="1" applyFont="1" applyBorder="1" applyAlignment="1"/>
    <xf numFmtId="0" fontId="5" fillId="6" borderId="2" xfId="0" quotePrefix="1" applyFont="1" applyFill="1" applyBorder="1" applyAlignment="1"/>
    <xf numFmtId="0" fontId="0" fillId="5" borderId="2" xfId="0" applyFont="1" applyFill="1" applyBorder="1" applyAlignment="1"/>
    <xf numFmtId="0" fontId="0" fillId="0" borderId="7" xfId="0" applyBorder="1" applyAlignment="1">
      <alignment horizontal="center"/>
    </xf>
    <xf numFmtId="164" fontId="1" fillId="0" borderId="8" xfId="0" applyNumberFormat="1" applyFont="1" applyBorder="1" applyAlignment="1"/>
    <xf numFmtId="0" fontId="0" fillId="0" borderId="8" xfId="0" applyBorder="1"/>
    <xf numFmtId="0" fontId="1" fillId="0" borderId="8" xfId="0" applyFont="1" applyBorder="1" applyAlignment="1"/>
    <xf numFmtId="0" fontId="5" fillId="0" borderId="8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2" xfId="0" applyFont="1" applyFill="1" applyBorder="1" applyAlignment="1"/>
    <xf numFmtId="0" fontId="1" fillId="8" borderId="2" xfId="0" applyFont="1" applyFill="1" applyBorder="1" applyAlignment="1">
      <alignment horizontal="center"/>
    </xf>
    <xf numFmtId="0" fontId="0" fillId="8" borderId="0" xfId="0" applyFill="1" applyAlignment="1">
      <alignment horizontal="left"/>
    </xf>
    <xf numFmtId="0" fontId="0" fillId="8" borderId="0" xfId="0" applyFill="1" applyAlignment="1">
      <alignment horizontal="center"/>
    </xf>
    <xf numFmtId="0" fontId="1" fillId="0" borderId="8" xfId="0" applyNumberFormat="1" applyFont="1" applyBorder="1" applyAlignment="1"/>
    <xf numFmtId="0" fontId="0" fillId="0" borderId="0" xfId="0" applyNumberFormat="1"/>
    <xf numFmtId="0" fontId="2" fillId="2" borderId="1" xfId="0" applyNumberFormat="1" applyFont="1" applyFill="1" applyBorder="1"/>
    <xf numFmtId="0" fontId="1" fillId="0" borderId="2" xfId="0" applyNumberFormat="1" applyFont="1" applyBorder="1" applyAlignment="1"/>
    <xf numFmtId="0" fontId="1" fillId="6" borderId="2" xfId="0" applyNumberFormat="1" applyFont="1" applyFill="1" applyBorder="1" applyAlignment="1"/>
    <xf numFmtId="0" fontId="0" fillId="0" borderId="2" xfId="0" applyNumberFormat="1" applyBorder="1"/>
    <xf numFmtId="0" fontId="10" fillId="6" borderId="0" xfId="0" applyFont="1" applyFill="1" applyAlignment="1">
      <alignment vertical="center"/>
    </xf>
    <xf numFmtId="0" fontId="0" fillId="6" borderId="0" xfId="0" applyFill="1"/>
    <xf numFmtId="0" fontId="5" fillId="6" borderId="0" xfId="0" applyFont="1" applyFill="1"/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8" borderId="8" xfId="0" applyFont="1" applyFill="1" applyBorder="1" applyAlignment="1"/>
    <xf numFmtId="0" fontId="1" fillId="8" borderId="8" xfId="0" applyFont="1" applyFill="1" applyBorder="1" applyAlignment="1">
      <alignment horizontal="center"/>
    </xf>
    <xf numFmtId="0" fontId="1" fillId="6" borderId="8" xfId="0" applyFont="1" applyFill="1" applyBorder="1" applyAlignment="1"/>
    <xf numFmtId="0" fontId="5" fillId="6" borderId="2" xfId="0" applyFont="1" applyFill="1" applyBorder="1" applyAlignment="1"/>
    <xf numFmtId="0" fontId="0" fillId="9" borderId="0" xfId="0" applyFill="1" applyAlignment="1">
      <alignment horizontal="center"/>
    </xf>
    <xf numFmtId="0" fontId="1" fillId="9" borderId="0" xfId="0" applyFont="1" applyFill="1"/>
    <xf numFmtId="0" fontId="0" fillId="9" borderId="0" xfId="0" applyFill="1"/>
    <xf numFmtId="0" fontId="1" fillId="9" borderId="2" xfId="0" applyFont="1" applyFill="1" applyBorder="1" applyAlignment="1"/>
    <xf numFmtId="167" fontId="0" fillId="0" borderId="0" xfId="0" applyNumberFormat="1"/>
    <xf numFmtId="167" fontId="3" fillId="2" borderId="1" xfId="0" applyNumberFormat="1" applyFont="1" applyFill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/>
    </xf>
    <xf numFmtId="167" fontId="7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19</xdr:col>
      <xdr:colOff>895350</xdr:colOff>
      <xdr:row>49</xdr:row>
      <xdr:rowOff>104775</xdr:rowOff>
    </xdr:to>
    <xdr:sp macro="" textlink="">
      <xdr:nvSpPr>
        <xdr:cNvPr id="1061" name="Rectangle 3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48</xdr:row>
      <xdr:rowOff>104775</xdr:rowOff>
    </xdr:to>
    <xdr:sp macro="" textlink="">
      <xdr:nvSpPr>
        <xdr:cNvPr id="2" name="AutoShape 37"/>
        <xdr:cNvSpPr>
          <a:spLocks noChangeArrowheads="1"/>
        </xdr:cNvSpPr>
      </xdr:nvSpPr>
      <xdr:spPr bwMode="auto">
        <a:xfrm>
          <a:off x="0" y="0"/>
          <a:ext cx="6829425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3" name="AutoShape 37"/>
        <xdr:cNvSpPr>
          <a:spLocks noChangeArrowheads="1"/>
        </xdr:cNvSpPr>
      </xdr:nvSpPr>
      <xdr:spPr bwMode="auto">
        <a:xfrm>
          <a:off x="0" y="0"/>
          <a:ext cx="7353300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4" name="AutoShape 37"/>
        <xdr:cNvSpPr>
          <a:spLocks noChangeArrowheads="1"/>
        </xdr:cNvSpPr>
      </xdr:nvSpPr>
      <xdr:spPr bwMode="auto">
        <a:xfrm>
          <a:off x="0" y="0"/>
          <a:ext cx="5010150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5" name="AutoShape 37"/>
        <xdr:cNvSpPr>
          <a:spLocks noChangeArrowheads="1"/>
        </xdr:cNvSpPr>
      </xdr:nvSpPr>
      <xdr:spPr bwMode="auto">
        <a:xfrm>
          <a:off x="0" y="0"/>
          <a:ext cx="5010150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6" name="AutoShape 37"/>
        <xdr:cNvSpPr>
          <a:spLocks noChangeArrowheads="1"/>
        </xdr:cNvSpPr>
      </xdr:nvSpPr>
      <xdr:spPr bwMode="auto">
        <a:xfrm>
          <a:off x="0" y="0"/>
          <a:ext cx="5010150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7" name="AutoShape 37"/>
        <xdr:cNvSpPr>
          <a:spLocks noChangeArrowheads="1"/>
        </xdr:cNvSpPr>
      </xdr:nvSpPr>
      <xdr:spPr bwMode="auto">
        <a:xfrm>
          <a:off x="0" y="0"/>
          <a:ext cx="5010150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8" name="AutoShape 37"/>
        <xdr:cNvSpPr>
          <a:spLocks noChangeArrowheads="1"/>
        </xdr:cNvSpPr>
      </xdr:nvSpPr>
      <xdr:spPr bwMode="auto">
        <a:xfrm>
          <a:off x="0" y="0"/>
          <a:ext cx="5010150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</xdr:row>
          <xdr:rowOff>28575</xdr:rowOff>
        </xdr:from>
        <xdr:to>
          <xdr:col>10</xdr:col>
          <xdr:colOff>390525</xdr:colOff>
          <xdr:row>3</xdr:row>
          <xdr:rowOff>962025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10</xdr:row>
          <xdr:rowOff>47625</xdr:rowOff>
        </xdr:from>
        <xdr:to>
          <xdr:col>12</xdr:col>
          <xdr:colOff>209550</xdr:colOff>
          <xdr:row>10</xdr:row>
          <xdr:rowOff>390525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19050</xdr:rowOff>
        </xdr:from>
        <xdr:to>
          <xdr:col>10</xdr:col>
          <xdr:colOff>276225</xdr:colOff>
          <xdr:row>9</xdr:row>
          <xdr:rowOff>85725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11</xdr:col>
          <xdr:colOff>352425</xdr:colOff>
          <xdr:row>13</xdr:row>
          <xdr:rowOff>666750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98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14.42578125" defaultRowHeight="15.75" customHeight="1" x14ac:dyDescent="0.2"/>
  <cols>
    <col min="1" max="1" width="4" style="2" customWidth="1"/>
    <col min="2" max="2" width="17.28515625" customWidth="1"/>
    <col min="3" max="3" width="7" customWidth="1"/>
    <col min="4" max="4" width="24.28515625" customWidth="1"/>
    <col min="5" max="6" width="9.42578125" style="2" customWidth="1"/>
    <col min="7" max="12" width="3.7109375" style="2" customWidth="1"/>
    <col min="13" max="13" width="13.28515625" style="2" customWidth="1"/>
    <col min="14" max="14" width="9.140625" customWidth="1"/>
    <col min="15" max="15" width="15.140625" style="74" customWidth="1"/>
    <col min="16" max="16" width="7" customWidth="1"/>
    <col min="17" max="17" width="10" customWidth="1"/>
    <col min="18" max="18" width="16.140625" customWidth="1"/>
    <col min="19" max="19" width="6.28515625" customWidth="1"/>
    <col min="20" max="20" width="10.140625" customWidth="1"/>
    <col min="21" max="21" width="15.140625" style="74" customWidth="1"/>
    <col min="22" max="22" width="6.85546875" customWidth="1"/>
    <col min="23" max="23" width="11.5703125" style="56" customWidth="1"/>
    <col min="24" max="24" width="15.42578125" customWidth="1"/>
    <col min="25" max="25" width="6.85546875" customWidth="1"/>
    <col min="26" max="26" width="10.85546875" customWidth="1"/>
    <col min="27" max="27" width="15.140625" style="74" customWidth="1"/>
    <col min="28" max="28" width="6.85546875" customWidth="1"/>
    <col min="29" max="29" width="14.140625" customWidth="1"/>
    <col min="30" max="30" width="16" customWidth="1"/>
    <col min="31" max="31" width="6.85546875" customWidth="1"/>
    <col min="32" max="32" width="12.5703125" customWidth="1"/>
    <col min="33" max="33" width="15.28515625" customWidth="1"/>
    <col min="34" max="34" width="6.7109375" customWidth="1"/>
    <col min="35" max="35" width="10.85546875" customWidth="1"/>
    <col min="36" max="36" width="15.140625" style="74" customWidth="1"/>
    <col min="37" max="37" width="6.28515625" customWidth="1"/>
    <col min="38" max="38" width="11" customWidth="1"/>
    <col min="39" max="39" width="15" customWidth="1"/>
    <col min="40" max="40" width="6.5703125" customWidth="1"/>
    <col min="41" max="41" width="14.28515625" customWidth="1"/>
    <col min="42" max="42" width="14.7109375" customWidth="1"/>
    <col min="43" max="43" width="6.7109375" customWidth="1"/>
    <col min="45" max="45" width="6.7109375" customWidth="1"/>
    <col min="46" max="46" width="3.7109375" customWidth="1"/>
    <col min="47" max="47" width="3.42578125" customWidth="1"/>
    <col min="48" max="48" width="3.140625" customWidth="1"/>
  </cols>
  <sheetData>
    <row r="1" spans="1:48" ht="15.75" customHeight="1" thickBot="1" x14ac:dyDescent="0.25">
      <c r="A1" s="3" t="s">
        <v>1041</v>
      </c>
    </row>
    <row r="2" spans="1:48" s="1" customFormat="1" ht="12.75" x14ac:dyDescent="0.2">
      <c r="A2" s="29" t="s">
        <v>949</v>
      </c>
      <c r="B2" s="30" t="s">
        <v>0</v>
      </c>
      <c r="C2" s="30" t="s">
        <v>948</v>
      </c>
      <c r="D2" s="30" t="s">
        <v>1</v>
      </c>
      <c r="E2" s="8" t="s">
        <v>2</v>
      </c>
      <c r="F2" s="8" t="s">
        <v>947</v>
      </c>
      <c r="G2" s="4" t="s">
        <v>950</v>
      </c>
      <c r="H2" s="4" t="s">
        <v>951</v>
      </c>
      <c r="I2" s="4" t="s">
        <v>952</v>
      </c>
      <c r="J2" s="4" t="s">
        <v>953</v>
      </c>
      <c r="K2" s="4" t="s">
        <v>954</v>
      </c>
      <c r="L2" s="4" t="s">
        <v>955</v>
      </c>
      <c r="M2" s="5" t="s">
        <v>956</v>
      </c>
      <c r="N2" s="30" t="s">
        <v>3</v>
      </c>
      <c r="O2" s="75" t="s">
        <v>963</v>
      </c>
      <c r="P2" s="16" t="s">
        <v>964</v>
      </c>
      <c r="Q2" s="30" t="s">
        <v>4</v>
      </c>
      <c r="R2" s="15" t="s">
        <v>963</v>
      </c>
      <c r="S2" s="16" t="s">
        <v>964</v>
      </c>
      <c r="T2" s="30" t="s">
        <v>5</v>
      </c>
      <c r="U2" s="75" t="s">
        <v>963</v>
      </c>
      <c r="V2" s="16" t="s">
        <v>964</v>
      </c>
      <c r="W2" s="57" t="s">
        <v>6</v>
      </c>
      <c r="X2" s="15" t="s">
        <v>963</v>
      </c>
      <c r="Y2" s="16" t="s">
        <v>964</v>
      </c>
      <c r="Z2" s="30" t="s">
        <v>9</v>
      </c>
      <c r="AA2" s="75" t="s">
        <v>963</v>
      </c>
      <c r="AB2" s="16" t="s">
        <v>964</v>
      </c>
      <c r="AC2" s="30" t="s">
        <v>7</v>
      </c>
      <c r="AD2" s="15" t="s">
        <v>963</v>
      </c>
      <c r="AE2" s="16" t="s">
        <v>964</v>
      </c>
      <c r="AF2" s="30" t="s">
        <v>10</v>
      </c>
      <c r="AG2" s="15" t="s">
        <v>963</v>
      </c>
      <c r="AH2" s="16" t="s">
        <v>964</v>
      </c>
      <c r="AI2" s="30" t="s">
        <v>8</v>
      </c>
      <c r="AJ2" s="75" t="s">
        <v>963</v>
      </c>
      <c r="AK2" s="16" t="s">
        <v>964</v>
      </c>
      <c r="AL2" s="30" t="s">
        <v>11</v>
      </c>
      <c r="AM2" s="15" t="s">
        <v>963</v>
      </c>
      <c r="AN2" s="16" t="s">
        <v>964</v>
      </c>
      <c r="AO2" s="30" t="s">
        <v>12</v>
      </c>
      <c r="AP2" s="15" t="s">
        <v>963</v>
      </c>
      <c r="AQ2" s="16" t="s">
        <v>964</v>
      </c>
      <c r="AR2" s="31" t="s">
        <v>1040</v>
      </c>
      <c r="AS2" s="1" t="s">
        <v>1042</v>
      </c>
      <c r="AT2" s="1">
        <v>11</v>
      </c>
      <c r="AU2" s="1" t="s">
        <v>1043</v>
      </c>
      <c r="AV2" s="1">
        <v>12</v>
      </c>
    </row>
    <row r="3" spans="1:48" ht="12.75" x14ac:dyDescent="0.2">
      <c r="A3" s="50">
        <v>1</v>
      </c>
      <c r="B3" s="33">
        <v>41950.770999062501</v>
      </c>
      <c r="C3" s="34" t="s">
        <v>709</v>
      </c>
      <c r="D3" s="34" t="s">
        <v>710</v>
      </c>
      <c r="E3" s="17">
        <v>256688</v>
      </c>
      <c r="F3" s="6">
        <v>1</v>
      </c>
      <c r="G3" s="6">
        <f>INT(E3/100000)</f>
        <v>2</v>
      </c>
      <c r="H3" s="6">
        <f>INT(($E3-100000*G3)/10000)</f>
        <v>5</v>
      </c>
      <c r="I3" s="6">
        <f>INT(($E3-100000*G3-10000*H3)/1000)</f>
        <v>6</v>
      </c>
      <c r="J3" s="6">
        <f>INT(($E3-100000*$G3-10000*$H3-1000*$I3)/100)</f>
        <v>6</v>
      </c>
      <c r="K3" s="6">
        <f>INT(($E3-100000*$G3-10000*$H3-1000*$I3-100*$J3)/10)</f>
        <v>8</v>
      </c>
      <c r="L3" s="6">
        <f>INT(($E3-100000*$G3-10000*$H3-1000*$I3-100*$J3-10*$K3))</f>
        <v>8</v>
      </c>
      <c r="M3" s="7">
        <v>2</v>
      </c>
      <c r="N3" s="34" t="s">
        <v>711</v>
      </c>
      <c r="O3" s="76">
        <f>10*LOG10((10^((100+10*LOG10(1/(4*PI()*(3+J3/2)^2)))/10)+10^((100-3+10*LOG10(1/(4*PI()*(3+J3/2)^2)))/10))/10^((100+10*LOG10(4*(1+L3/10)/(0.16*(2000+K3*100))))/10))</f>
        <v>-6.8513198478602257</v>
      </c>
      <c r="P3" s="7">
        <f>IF(N3="",0,IF(EXACT(RIGHT(N3,2),"dB"),IF(ABS(VALUE(LEFT(N3,FIND(" ",N3,1)))-O3)&lt;=0.5,1,-1),-1))</f>
        <v>1</v>
      </c>
      <c r="Q3" s="34">
        <v>0.32650000000000001</v>
      </c>
      <c r="R3" s="35">
        <f>(10^((100-3+10*LOG10(1/(4*PI()*(3+J3/2)^2)))/10)*COS((90-(30+L3*6))/180*PI()))/(10^((100+10*LOG10(1/(4*PI()*(3+J3/2)^2)))/10)+10^((100-3+10*LOG10(1/(4*PI()*(3+J3/2)^2)))/10))</f>
        <v>0.32656492082362759</v>
      </c>
      <c r="S3" s="7">
        <f>IF(Q3="",0,IF(ABS(VALUE(Q3)-R3)&lt;=0.05,1,-1))</f>
        <v>1</v>
      </c>
      <c r="T3" s="18"/>
      <c r="U3" s="76">
        <f>10*LOG10(10^((100+10*LOG10(1/(4*PI()*(3+J3/2)^2)))/10)+10^((100-3+10*LOG10(1/(4*PI()*(3+J3/2)^2)))/10)+10^((100+10*LOG10(4*(1+L3/10)/(0.16*(2000+K3*100))))/10))-100+31</f>
        <v>13.875729020164286</v>
      </c>
      <c r="V3" s="7">
        <f>IF(T3="",0,IF(EXACT(RIGHT(T3,2),"dB"),IF(ABS(VALUE(LEFT(T3,FIND(" ",T3,1)))-U3)&lt;=0.5,1,-1),-1))</f>
        <v>0</v>
      </c>
      <c r="W3" s="58">
        <v>0.85699999999999998</v>
      </c>
      <c r="X3" s="35">
        <f>(0.5+L3/20)/(1+10^(-(5+K3)/10))</f>
        <v>0.85704595106921655</v>
      </c>
      <c r="Y3" s="7">
        <f>IF(W3="",0,IF(ABS(VALUE(W3)-X3)&lt;=0.05,1,-1))</f>
        <v>1</v>
      </c>
      <c r="Z3" s="34" t="s">
        <v>713</v>
      </c>
      <c r="AA3" s="76">
        <f>10*LOG10(1+((100+K3*10+L3)*(0.5+J3/20))/((0.1+J3/100)*(6*(5+L3/2)^2)))</f>
        <v>4.6748325625355331</v>
      </c>
      <c r="AB3" s="7">
        <f>IF(Z3="",0,IF(EXACT(RIGHT(Z3,2),"dB"),IF(ABS(VALUE(LEFT(Z3,FIND(" ",Z3,1)))-AA3)&lt;=0.5,1,-1),-1))</f>
        <v>1</v>
      </c>
      <c r="AC3" s="34">
        <v>0.66666666659999996</v>
      </c>
      <c r="AD3" s="35">
        <f>0.3+L3/30+0.1</f>
        <v>0.66666666666666663</v>
      </c>
      <c r="AE3" s="7">
        <f>IF(AC3="",0,IF(ABS(VALUE(AC3)-AD3)&lt;=0.05,1,-1))</f>
        <v>1</v>
      </c>
      <c r="AF3" s="34">
        <v>0.33333333332999998</v>
      </c>
      <c r="AG3" s="35">
        <f>1-AD3</f>
        <v>0.33333333333333337</v>
      </c>
      <c r="AH3" s="7">
        <f>IF(AF3="",0,IF(ABS(VALUE(AF3)-AG3)&lt;=0.05,1,-1))</f>
        <v>1</v>
      </c>
      <c r="AI3" s="73" t="s">
        <v>712</v>
      </c>
      <c r="AJ3" s="76">
        <f>-10*LOG10(1-(0.3+K3/20))</f>
        <v>5.2287874528033749</v>
      </c>
      <c r="AK3" s="7">
        <f>IF(AI3="",0,IF(EXACT(RIGHT(AI3,2),"dB"),IF(ABS(ABS(VALUE(LEFT(AI3,FIND(" ",AI3,1))))-AJ3)&lt;=0.5,1,-1),-1))</f>
        <v>1</v>
      </c>
      <c r="AL3" s="34">
        <v>0.96809999999999996</v>
      </c>
      <c r="AM3" s="35">
        <f>((0.16*(200+K3*10+L3)/(2+K3/10))-0.16*(200+K3*10+L3)/(6+L3/10))/10</f>
        <v>0.96806722689075642</v>
      </c>
      <c r="AN3" s="7">
        <f>IF(AL3="",0,IF(ABS(VALUE(AL3)-AM3)&lt;=0.05,1,-1))</f>
        <v>1</v>
      </c>
      <c r="AO3" s="34" t="s">
        <v>714</v>
      </c>
      <c r="AP3" s="35">
        <f>((0.16*(200+K3*10+L3)/(2+K3/10))-0.16*(200+K3*10+L3)/(6+L3/10))/(10+J3)</f>
        <v>0.60504201680672276</v>
      </c>
      <c r="AQ3" s="7">
        <f>IF(AO3="",0,IF(EXACT(RIGHT(AO3,2),"m2"),IF(ABS(VALUE(LEFT(AO3,FIND(" ",AO3,1)))-AP3)&lt;=0.05,1,-1),-1))</f>
        <v>1</v>
      </c>
      <c r="AR3" s="47">
        <f>M3+P3+S3+V3+Y3+AB3+AE3+AH3+AK3+AN3+AQ3</f>
        <v>11</v>
      </c>
    </row>
    <row r="4" spans="1:48" ht="12.75" x14ac:dyDescent="0.2">
      <c r="A4" s="50">
        <v>2</v>
      </c>
      <c r="B4" s="33">
        <v>41950.771141377314</v>
      </c>
      <c r="C4" s="34" t="s">
        <v>735</v>
      </c>
      <c r="D4" s="34" t="s">
        <v>736</v>
      </c>
      <c r="E4" s="17">
        <v>239524</v>
      </c>
      <c r="F4" s="6">
        <v>1</v>
      </c>
      <c r="G4" s="6">
        <f>INT(E4/100000)</f>
        <v>2</v>
      </c>
      <c r="H4" s="6">
        <f>INT(($E4-100000*G4)/10000)</f>
        <v>3</v>
      </c>
      <c r="I4" s="6">
        <f>INT(($E4-100000*G4-10000*H4)/1000)</f>
        <v>9</v>
      </c>
      <c r="J4" s="6">
        <f>INT(($E4-100000*$G4-10000*$H4-1000*$I4)/100)</f>
        <v>5</v>
      </c>
      <c r="K4" s="6">
        <f>INT(($E4-100000*$G4-10000*$H4-1000*$I4-100*$J4)/10)</f>
        <v>2</v>
      </c>
      <c r="L4" s="6">
        <f>INT(($E4-100000*$G4-10000*$H4-1000*$I4-100*$J4-10*$K4))</f>
        <v>4</v>
      </c>
      <c r="M4" s="7">
        <v>2</v>
      </c>
      <c r="N4" s="36" t="s">
        <v>737</v>
      </c>
      <c r="O4" s="76">
        <f>10*LOG10((10^((100+10*LOG10(1/(4*PI()*(3+J4/2)^2)))/10)+10^((100-3+10*LOG10(1/(4*PI()*(3+J4/2)^2)))/10))/10^((100+10*LOG10(4*(1+L4/10)/(0.16*(2000+K4*100))))/10))</f>
        <v>-6.0514574410216788</v>
      </c>
      <c r="P4" s="7">
        <f>IF(N4="",0,IF(EXACT(RIGHT(N4,2),"dB"),IF(ABS(VALUE(LEFT(N4,FIND(" ",N4,1)))-O4)&lt;=0.5,1,-1),-1))</f>
        <v>1</v>
      </c>
      <c r="Q4" s="18"/>
      <c r="R4" s="35">
        <f>(10^((100-3+10*LOG10(1/(4*PI()*(3+J4/2)^2)))/10)*COS((90-(30+L4*6))/180*PI()))/(10^((100+10*LOG10(1/(4*PI()*(3+J4/2)^2)))/10)+10^((100-3+10*LOG10(1/(4*PI()*(3+J4/2)^2)))/10))</f>
        <v>0.2700988792640529</v>
      </c>
      <c r="S4" s="7">
        <f>IF(Q4="",0,IF(ABS(VALUE(Q4)-R4)&lt;=0.05,1,-1))</f>
        <v>0</v>
      </c>
      <c r="T4" s="18"/>
      <c r="U4" s="76">
        <f>10*LOG10(10^((100+10*LOG10(1/(4*PI()*(3+J4/2)^2)))/10)+10^((100-3+10*LOG10(1/(4*PI()*(3+J4/2)^2)))/10)+10^((100+10*LOG10(4*(1+L4/10)/(0.16*(2000+K4*100))))/10))-100+31</f>
        <v>13.979399774823975</v>
      </c>
      <c r="V4" s="7">
        <f>IF(T4="",0,IF(EXACT(RIGHT(T4,2),"dB"),IF(ABS(VALUE(LEFT(T4,FIND(" ",T4,1)))-U4)&lt;=0.5,1,-1),-1))</f>
        <v>0</v>
      </c>
      <c r="W4" s="58">
        <v>0.58399999999999996</v>
      </c>
      <c r="X4" s="35">
        <f>(0.5+L4/20)/(1+10^(-(5+K4)/10))</f>
        <v>0.58356372842840665</v>
      </c>
      <c r="Y4" s="7">
        <f>IF(W4="",0,IF(ABS(VALUE(W4)-X4)&lt;=0.05,1,-1))</f>
        <v>1</v>
      </c>
      <c r="Z4" s="34" t="s">
        <v>739</v>
      </c>
      <c r="AA4" s="76">
        <f>10*LOG10(1+((100+K4*10+L4)*(0.5+J4/20))/((0.1+J4/100)*(6*(5+L4/2)^2)))</f>
        <v>4.9259886532167405</v>
      </c>
      <c r="AB4" s="7">
        <f>IF(Z4="",0,IF(EXACT(RIGHT(Z4,2),"dB"),IF(ABS(VALUE(LEFT(Z4,FIND(" ",Z4,1)))-AA4)&lt;=0.5,1,-1),-1))</f>
        <v>1</v>
      </c>
      <c r="AC4" s="34">
        <v>0.53300000000000003</v>
      </c>
      <c r="AD4" s="35">
        <f>0.3+L4/30+0.1</f>
        <v>0.53333333333333333</v>
      </c>
      <c r="AE4" s="7">
        <f>IF(AC4="",0,IF(ABS(VALUE(AC4)-AD4)&lt;=0.05,1,-1))</f>
        <v>1</v>
      </c>
      <c r="AF4" s="34">
        <v>0.46700000000000003</v>
      </c>
      <c r="AG4" s="35">
        <f>1-AD4</f>
        <v>0.46666666666666667</v>
      </c>
      <c r="AH4" s="7">
        <f>IF(AF4="",0,IF(ABS(VALUE(AF4)-AG4)&lt;=0.05,1,-1))</f>
        <v>1</v>
      </c>
      <c r="AI4" s="34" t="s">
        <v>738</v>
      </c>
      <c r="AJ4" s="76">
        <f>-10*LOG10(1-(0.3+K4/20))</f>
        <v>2.2184874961635641</v>
      </c>
      <c r="AK4" s="7">
        <f>IF(AI4="",0,IF(EXACT(RIGHT(AI4,2),"dB"),IF(ABS(ABS(VALUE(LEFT(AI4,FIND(" ",AI4,1))))-AJ4)&lt;=0.5,1,-1),-1))</f>
        <v>1</v>
      </c>
      <c r="AL4" s="34">
        <v>1.069</v>
      </c>
      <c r="AM4" s="35">
        <f>((0.16*(200+K4*10+L4)/(2+K4/10))-0.16*(200+K4*10+L4)/(6+L4/10))/10</f>
        <v>1.0690909090909091</v>
      </c>
      <c r="AN4" s="7">
        <f>IF(AL4="",0,IF(ABS(VALUE(AL4)-AM4)&lt;=0.05,1,-1))</f>
        <v>1</v>
      </c>
      <c r="AO4" s="34" t="s">
        <v>740</v>
      </c>
      <c r="AP4" s="35">
        <f>((0.16*(200+K4*10+L4)/(2+K4/10))-0.16*(200+K4*10+L4)/(6+L4/10))/(10+J4)</f>
        <v>0.71272727272727276</v>
      </c>
      <c r="AQ4" s="7">
        <f>IF(AO4="",0,IF(EXACT(RIGHT(AO4,2),"m2"),IF(ABS(VALUE(LEFT(AO4,FIND(" ",AO4,1)))-AP4)&lt;=0.05,1,-1),-1))</f>
        <v>1</v>
      </c>
      <c r="AR4" s="47">
        <f>M4+P4+S4+V4+Y4+AB4+AE4+AH4+AK4+AN4+AQ4</f>
        <v>10</v>
      </c>
    </row>
    <row r="5" spans="1:48" ht="12.75" x14ac:dyDescent="0.2">
      <c r="A5" s="50">
        <v>3</v>
      </c>
      <c r="B5" s="33">
        <v>41950.771496747679</v>
      </c>
      <c r="C5" s="34" t="s">
        <v>787</v>
      </c>
      <c r="D5" s="34" t="s">
        <v>788</v>
      </c>
      <c r="E5" s="17">
        <v>239617</v>
      </c>
      <c r="F5" s="6">
        <v>1</v>
      </c>
      <c r="G5" s="6">
        <f>INT(E5/100000)</f>
        <v>2</v>
      </c>
      <c r="H5" s="6">
        <f>INT(($E5-100000*G5)/10000)</f>
        <v>3</v>
      </c>
      <c r="I5" s="6">
        <f>INT(($E5-100000*G5-10000*H5)/1000)</f>
        <v>9</v>
      </c>
      <c r="J5" s="6">
        <f>INT(($E5-100000*$G5-10000*$H5-1000*$I5)/100)</f>
        <v>6</v>
      </c>
      <c r="K5" s="6">
        <f>INT(($E5-100000*$G5-10000*$H5-1000*$I5-100*$J5)/10)</f>
        <v>1</v>
      </c>
      <c r="L5" s="6">
        <f>INT(($E5-100000*$G5-10000*$H5-1000*$I5-100*$J5-10*$K5))</f>
        <v>7</v>
      </c>
      <c r="M5" s="7">
        <v>2</v>
      </c>
      <c r="N5" s="34" t="s">
        <v>789</v>
      </c>
      <c r="O5" s="76">
        <f>10*LOG10((10^((100+10*LOG10(1/(4*PI()*(3+J5/2)^2)))/10)+10^((100-3+10*LOG10(1/(4*PI()*(3+J5/2)^2)))/10))/10^((100+10*LOG10(4*(1+L5/10)/(0.16*(2000+K5*100))))/10))</f>
        <v>-7.8524713766929075</v>
      </c>
      <c r="P5" s="7">
        <f>IF(N5="",0,IF(EXACT(RIGHT(N5,2),"dB"),IF(ABS(VALUE(LEFT(N5,FIND(" ",N5,1)))-O5)&lt;=0.5,1,-1),-1))</f>
        <v>1</v>
      </c>
      <c r="Q5" s="18"/>
      <c r="R5" s="35">
        <f>(10^((100-3+10*LOG10(1/(4*PI()*(3+J5/2)^2)))/10)*COS((90-(30+L5*6))/180*PI()))/(10^((100+10*LOG10(1/(4*PI()*(3+J5/2)^2)))/10)+10^((100-3+10*LOG10(1/(4*PI()*(3+J5/2)^2)))/10))</f>
        <v>0.31752027578427189</v>
      </c>
      <c r="S5" s="7">
        <f>IF(Q5="",0,IF(ABS(VALUE(Q5)-R5)&lt;=0.05,1,-1))</f>
        <v>0</v>
      </c>
      <c r="T5" s="18"/>
      <c r="U5" s="76">
        <f>10*LOG10(10^((100+10*LOG10(1/(4*PI()*(3+J5/2)^2)))/10)+10^((100-3+10*LOG10(1/(4*PI()*(3+J5/2)^2)))/10)+10^((100+10*LOG10(4*(1+L5/10)/(0.16*(2000+K5*100))))/10))-100+31</f>
        <v>14.721097974903842</v>
      </c>
      <c r="V5" s="7">
        <f>IF(T5="",0,IF(EXACT(RIGHT(T5,2),"dB"),IF(ABS(VALUE(LEFT(T5,FIND(" ",T5,1)))-U5)&lt;=0.5,1,-1),-1))</f>
        <v>0</v>
      </c>
      <c r="W5" s="58">
        <v>0.67935000000000001</v>
      </c>
      <c r="X5" s="35">
        <f>(0.5+L5/20)/(1+10^(-(5+K5)/10))</f>
        <v>0.67935399242386352</v>
      </c>
      <c r="Y5" s="7">
        <f>IF(W5="",0,IF(ABS(VALUE(W5)-X5)&lt;=0.05,1,-1))</f>
        <v>1</v>
      </c>
      <c r="Z5" s="34" t="s">
        <v>791</v>
      </c>
      <c r="AA5" s="76">
        <f>10*LOG10(1+((100+K5*10+L5)*(0.5+J5/20))/((0.1+J5/100)*(6*(5+L5/2)^2)))</f>
        <v>3.7097193152395382</v>
      </c>
      <c r="AB5" s="7">
        <f>IF(Z5="",0,IF(EXACT(RIGHT(Z5,2),"dB"),IF(ABS(VALUE(LEFT(Z5,FIND(" ",Z5,1)))-AA5)&lt;=0.5,1,-1),-1))</f>
        <v>1</v>
      </c>
      <c r="AC5" s="34">
        <v>0.63300000000000001</v>
      </c>
      <c r="AD5" s="35">
        <f>0.3+L5/30+0.1</f>
        <v>0.6333333333333333</v>
      </c>
      <c r="AE5" s="7">
        <f>IF(AC5="",0,IF(ABS(VALUE(AC5)-AD5)&lt;=0.05,1,-1))</f>
        <v>1</v>
      </c>
      <c r="AF5" s="34">
        <v>0.36699999999999999</v>
      </c>
      <c r="AG5" s="35">
        <f>1-AD5</f>
        <v>0.3666666666666667</v>
      </c>
      <c r="AH5" s="7">
        <f>IF(AF5="",0,IF(ABS(VALUE(AF5)-AG5)&lt;=0.05,1,-1))</f>
        <v>1</v>
      </c>
      <c r="AI5" s="34" t="s">
        <v>790</v>
      </c>
      <c r="AJ5" s="76">
        <f>-10*LOG10(1-(0.3+K5/20))</f>
        <v>1.8708664335714442</v>
      </c>
      <c r="AK5" s="7">
        <f>IF(AI5="",0,IF(EXACT(RIGHT(AI5,2),"dB"),IF(ABS(ABS(VALUE(LEFT(AI5,FIND(" ",AI5,1))))-AJ5)&lt;=0.5,1,-1),-1))</f>
        <v>1</v>
      </c>
      <c r="AL5" s="34">
        <v>1.135</v>
      </c>
      <c r="AM5" s="35">
        <f>((0.16*(200+K5*10+L5)/(2+K5/10))-0.16*(200+K5*10+L5)/(6+L5/10))/10</f>
        <v>1.1351243781094527</v>
      </c>
      <c r="AN5" s="7">
        <f>IF(AL5="",0,IF(ABS(VALUE(AL5)-AM5)&lt;=0.05,1,-1))</f>
        <v>1</v>
      </c>
      <c r="AO5" s="34" t="s">
        <v>792</v>
      </c>
      <c r="AP5" s="35">
        <f>((0.16*(200+K5*10+L5)/(2+K5/10))-0.16*(200+K5*10+L5)/(6+L5/10))/(10+J5)</f>
        <v>0.70945273631840788</v>
      </c>
      <c r="AQ5" s="7">
        <f>IF(AO5="",0,IF(EXACT(RIGHT(AO5,2),"m2"),IF(ABS(VALUE(LEFT(AO5,FIND(" ",AO5,1)))-AP5)&lt;=0.05,1,-1),-1))</f>
        <v>1</v>
      </c>
      <c r="AR5" s="47">
        <f>M5+P5+S5+V5+Y5+AB5+AE5+AH5+AK5+AN5+AQ5</f>
        <v>10</v>
      </c>
    </row>
    <row r="6" spans="1:48" ht="12.75" x14ac:dyDescent="0.2">
      <c r="A6" s="50">
        <v>4</v>
      </c>
      <c r="B6" s="33">
        <v>41950.775573506944</v>
      </c>
      <c r="C6" s="34" t="s">
        <v>894</v>
      </c>
      <c r="D6" s="39" t="s">
        <v>961</v>
      </c>
      <c r="E6" s="14">
        <v>233311</v>
      </c>
      <c r="F6" s="6">
        <v>1</v>
      </c>
      <c r="G6" s="6">
        <f>INT(E6/100000)</f>
        <v>2</v>
      </c>
      <c r="H6" s="6">
        <f>INT(($E6-100000*G6)/10000)</f>
        <v>3</v>
      </c>
      <c r="I6" s="6">
        <f>INT(($E6-100000*G6-10000*H6)/1000)</f>
        <v>3</v>
      </c>
      <c r="J6" s="6">
        <f>INT(($E6-100000*$G6-10000*$H6-1000*$I6)/100)</f>
        <v>3</v>
      </c>
      <c r="K6" s="6">
        <f>INT(($E6-100000*$G6-10000*$H6-1000*$I6-100*$J6)/10)</f>
        <v>1</v>
      </c>
      <c r="L6" s="6">
        <f>INT(($E6-100000*$G6-10000*$H6-1000*$I6-100*$J6-10*$K6))</f>
        <v>1</v>
      </c>
      <c r="M6" s="7">
        <v>2</v>
      </c>
      <c r="N6" s="36" t="s">
        <v>895</v>
      </c>
      <c r="O6" s="76">
        <f>10*LOG10((10^((100+10*LOG10(1/(4*PI()*(3+J6/2)^2)))/10)+10^((100-3+10*LOG10(1/(4*PI()*(3+J6/2)^2)))/10))/10^((100+10*LOG10(4*(1+L6/10)/(0.16*(2000+K6*100))))/10))</f>
        <v>-3.4631342823264148</v>
      </c>
      <c r="P6" s="7">
        <f>IF(N6="",0,IF(EXACT(RIGHT(N6,2),"dB"),IF(ABS(VALUE(LEFT(N6,FIND(" ",N6,1)))-O6)&lt;=0.5,1,-1),-1))</f>
        <v>1</v>
      </c>
      <c r="Q6" s="18"/>
      <c r="R6" s="35">
        <f>(10^((100-3+10*LOG10(1/(4*PI()*(3+J6/2)^2)))/10)*COS((90-(30+L6*6))/180*PI()))/(10^((100+10*LOG10(1/(4*PI()*(3+J6/2)^2)))/10)+10^((100-3+10*LOG10(1/(4*PI()*(3+J6/2)^2)))/10))</f>
        <v>0.19623832255191975</v>
      </c>
      <c r="S6" s="7">
        <f>IF(Q6="",0,IF(ABS(VALUE(Q6)-R6)&lt;=0.05,1,-1))</f>
        <v>0</v>
      </c>
      <c r="T6" s="34" t="s">
        <v>896</v>
      </c>
      <c r="U6" s="76">
        <f>10*LOG10(10^((100+10*LOG10(1/(4*PI()*(3+J6/2)^2)))/10)+10^((100-3+10*LOG10(1/(4*PI()*(3+J6/2)^2)))/10)+10^((100+10*LOG10(4*(1+L6/10)/(0.16*(2000+K6*100))))/10))-100+31</f>
        <v>13.786285781612122</v>
      </c>
      <c r="V6" s="7">
        <f>IF(T6="",0,IF(EXACT(RIGHT(T6,2),"dB"),IF(ABS(VALUE(LEFT(T6,FIND(" ",T6,1)))-U6)&lt;=0.5,1,-1),-1))</f>
        <v>1</v>
      </c>
      <c r="W6" s="58">
        <v>0.439</v>
      </c>
      <c r="X6" s="35">
        <f>(0.5+L6/20)/(1+10^(-(5+K6)/10))</f>
        <v>0.43958199509779405</v>
      </c>
      <c r="Y6" s="7">
        <f>IF(W6="",0,IF(ABS(VALUE(W6)-X6)&lt;=0.05,1,-1))</f>
        <v>1</v>
      </c>
      <c r="Z6" s="18"/>
      <c r="AA6" s="76">
        <f>10*LOG10(1+((100+K6*10+L6)*(0.5+J6/20))/((0.1+J6/100)*(6*(5+L6/2)^2)))</f>
        <v>6.0829612180651838</v>
      </c>
      <c r="AB6" s="7">
        <f>IF(Z6="",0,IF(EXACT(RIGHT(Z6,2),"dB"),IF(ABS(VALUE(LEFT(Z6,FIND(" ",Z6,1)))-AA6)&lt;=0.5,1,-1),-1))</f>
        <v>0</v>
      </c>
      <c r="AC6" s="34">
        <v>0.433</v>
      </c>
      <c r="AD6" s="35">
        <f>0.3+L6/30+0.1</f>
        <v>0.43333333333333335</v>
      </c>
      <c r="AE6" s="7">
        <f>IF(AC6="",0,IF(ABS(VALUE(AC6)-AD6)&lt;=0.05,1,-1))</f>
        <v>1</v>
      </c>
      <c r="AF6" s="34">
        <v>0.56599999999999995</v>
      </c>
      <c r="AG6" s="35">
        <f>1-AD6</f>
        <v>0.56666666666666665</v>
      </c>
      <c r="AH6" s="7">
        <f>IF(AF6="",0,IF(ABS(VALUE(AF6)-AG6)&lt;=0.05,1,-1))</f>
        <v>1</v>
      </c>
      <c r="AI6" s="73" t="s">
        <v>897</v>
      </c>
      <c r="AJ6" s="76">
        <f>-10*LOG10(1-(0.3+K6/20))</f>
        <v>1.8708664335714442</v>
      </c>
      <c r="AK6" s="7">
        <f>IF(AI6="",0,IF(EXACT(RIGHT(AI6,2),"dB"),IF(ABS(ABS(VALUE(LEFT(AI6,FIND(" ",AI6,1))))-AJ6)&lt;=0.5,1,-1),-1))</f>
        <v>1</v>
      </c>
      <c r="AL6" s="34">
        <v>1.054</v>
      </c>
      <c r="AM6" s="35">
        <f>((0.16*(200+K6*10+L6)/(2+K6/10))-0.16*(200+K6*10+L6)/(6+L6/10))/10</f>
        <v>1.0541764246682281</v>
      </c>
      <c r="AN6" s="7">
        <f>IF(AL6="",0,IF(ABS(VALUE(AL6)-AM6)&lt;=0.05,1,-1))</f>
        <v>1</v>
      </c>
      <c r="AO6" s="34" t="s">
        <v>898</v>
      </c>
      <c r="AP6" s="35">
        <f>((0.16*(200+K6*10+L6)/(2+K6/10))-0.16*(200+K6*10+L6)/(6+L6/10))/(10+J6)</f>
        <v>0.81090494205248309</v>
      </c>
      <c r="AQ6" s="7">
        <f>IF(AO6="",0,IF(EXACT(RIGHT(AO6,2),"m2"),IF(ABS(VALUE(LEFT(AO6,FIND(" ",AO6,1)))-AP6)&lt;=0.05,1,-1),-1))</f>
        <v>1</v>
      </c>
      <c r="AR6" s="47">
        <f>M6+P6+S6+V6+Y6+AB6+AE6+AH6+AK6+AN6+AQ6</f>
        <v>10</v>
      </c>
    </row>
    <row r="7" spans="1:48" ht="12.75" x14ac:dyDescent="0.2">
      <c r="A7" s="50">
        <v>5</v>
      </c>
      <c r="B7" s="33">
        <v>41950.769970266207</v>
      </c>
      <c r="C7" s="34" t="s">
        <v>626</v>
      </c>
      <c r="D7" s="34" t="s">
        <v>627</v>
      </c>
      <c r="E7" s="17">
        <v>243617</v>
      </c>
      <c r="F7" s="6">
        <v>1</v>
      </c>
      <c r="G7" s="6">
        <f>INT(E7/100000)</f>
        <v>2</v>
      </c>
      <c r="H7" s="6">
        <f>INT(($E7-100000*G7)/10000)</f>
        <v>4</v>
      </c>
      <c r="I7" s="6">
        <f>INT(($E7-100000*G7-10000*H7)/1000)</f>
        <v>3</v>
      </c>
      <c r="J7" s="6">
        <f>INT(($E7-100000*$G7-10000*$H7-1000*$I7)/100)</f>
        <v>6</v>
      </c>
      <c r="K7" s="6">
        <f>INT(($E7-100000*$G7-10000*$H7-1000*$I7-100*$J7)/10)</f>
        <v>1</v>
      </c>
      <c r="L7" s="6">
        <f>INT(($E7-100000*$G7-10000*$H7-1000*$I7-100*$J7-10*$K7))</f>
        <v>7</v>
      </c>
      <c r="M7" s="7">
        <v>2</v>
      </c>
      <c r="N7" s="18"/>
      <c r="O7" s="76">
        <f>10*LOG10((10^((100+10*LOG10(1/(4*PI()*(3+J7/2)^2)))/10)+10^((100-3+10*LOG10(1/(4*PI()*(3+J7/2)^2)))/10))/10^((100+10*LOG10(4*(1+L7/10)/(0.16*(2000+K7*100))))/10))</f>
        <v>-7.8524713766929075</v>
      </c>
      <c r="P7" s="7">
        <f>IF(N7="",0,IF(EXACT(RIGHT(N7,2),"dB"),IF(ABS(VALUE(LEFT(N7,FIND(" ",N7,1)))-O7)&lt;=0.5,1,-1),-1))</f>
        <v>0</v>
      </c>
      <c r="Q7" s="18"/>
      <c r="R7" s="35">
        <f>(10^((100-3+10*LOG10(1/(4*PI()*(3+J7/2)^2)))/10)*COS((90-(30+L7*6))/180*PI()))/(10^((100+10*LOG10(1/(4*PI()*(3+J7/2)^2)))/10)+10^((100-3+10*LOG10(1/(4*PI()*(3+J7/2)^2)))/10))</f>
        <v>0.31752027578427189</v>
      </c>
      <c r="S7" s="7">
        <f>IF(Q7="",0,IF(ABS(VALUE(Q7)-R7)&lt;=0.05,1,-1))</f>
        <v>0</v>
      </c>
      <c r="T7" s="18"/>
      <c r="U7" s="76">
        <f>10*LOG10(10^((100+10*LOG10(1/(4*PI()*(3+J7/2)^2)))/10)+10^((100-3+10*LOG10(1/(4*PI()*(3+J7/2)^2)))/10)+10^((100+10*LOG10(4*(1+L7/10)/(0.16*(2000+K7*100))))/10))-100+31</f>
        <v>14.721097974903842</v>
      </c>
      <c r="V7" s="7">
        <f>IF(T7="",0,IF(EXACT(RIGHT(T7,2),"dB"),IF(ABS(VALUE(LEFT(T7,FIND(" ",T7,1)))-U7)&lt;=0.5,1,-1),-1))</f>
        <v>0</v>
      </c>
      <c r="W7" s="58">
        <v>0.6794</v>
      </c>
      <c r="X7" s="35">
        <f>(0.5+L7/20)/(1+10^(-(5+K7)/10))</f>
        <v>0.67935399242386352</v>
      </c>
      <c r="Y7" s="7">
        <f>IF(W7="",0,IF(ABS(VALUE(W7)-X7)&lt;=0.05,1,-1))</f>
        <v>1</v>
      </c>
      <c r="Z7" s="34" t="s">
        <v>629</v>
      </c>
      <c r="AA7" s="76">
        <f>10*LOG10(1+((100+K7*10+L7)*(0.5+J7/20))/((0.1+J7/100)*(6*(5+L7/2)^2)))</f>
        <v>3.7097193152395382</v>
      </c>
      <c r="AB7" s="7">
        <f>IF(Z7="",0,IF(EXACT(RIGHT(Z7,2),"dB"),IF(ABS(VALUE(LEFT(Z7,FIND(" ",Z7,1)))-AA7)&lt;=0.5,1,-1),-1))</f>
        <v>1</v>
      </c>
      <c r="AC7" s="34">
        <v>0.63332999999999995</v>
      </c>
      <c r="AD7" s="35">
        <f>0.3+L7/30+0.1</f>
        <v>0.6333333333333333</v>
      </c>
      <c r="AE7" s="7">
        <f>IF(AC7="",0,IF(ABS(VALUE(AC7)-AD7)&lt;=0.05,1,-1))</f>
        <v>1</v>
      </c>
      <c r="AF7" s="34">
        <v>0.36665999999999999</v>
      </c>
      <c r="AG7" s="35">
        <f>1-AD7</f>
        <v>0.3666666666666667</v>
      </c>
      <c r="AH7" s="7">
        <f>IF(AF7="",0,IF(ABS(VALUE(AF7)-AG7)&lt;=0.05,1,-1))</f>
        <v>1</v>
      </c>
      <c r="AI7" s="36" t="s">
        <v>628</v>
      </c>
      <c r="AJ7" s="76">
        <f>-10*LOG10(1-(0.3+K7/20))</f>
        <v>1.8708664335714442</v>
      </c>
      <c r="AK7" s="7">
        <v>1</v>
      </c>
      <c r="AL7" s="34">
        <v>1.1351</v>
      </c>
      <c r="AM7" s="35">
        <f>((0.16*(200+K7*10+L7)/(2+K7/10))-0.16*(200+K7*10+L7)/(6+L7/10))/10</f>
        <v>1.1351243781094527</v>
      </c>
      <c r="AN7" s="7">
        <f>IF(AL7="",0,IF(ABS(VALUE(AL7)-AM7)&lt;=0.05,1,-1))</f>
        <v>1</v>
      </c>
      <c r="AO7" s="34" t="s">
        <v>630</v>
      </c>
      <c r="AP7" s="35">
        <f>((0.16*(200+K7*10+L7)/(2+K7/10))-0.16*(200+K7*10+L7)/(6+L7/10))/(10+J7)</f>
        <v>0.70945273631840788</v>
      </c>
      <c r="AQ7" s="7">
        <f>IF(AO7="",0,IF(EXACT(RIGHT(AO7,2),"m2"),IF(ABS(VALUE(LEFT(AO7,FIND(" ",AO7,1)))-AP7)&lt;=0.05,1,-1),-1))</f>
        <v>1</v>
      </c>
      <c r="AR7" s="47">
        <f>M7+P7+S7+V7+Y7+AB7+AE7+AH7+AK7+AN7+AQ7</f>
        <v>9</v>
      </c>
    </row>
    <row r="8" spans="1:48" ht="12.75" x14ac:dyDescent="0.2">
      <c r="A8" s="50">
        <v>6</v>
      </c>
      <c r="B8" s="33">
        <v>41950.766320358802</v>
      </c>
      <c r="C8" s="34" t="s">
        <v>202</v>
      </c>
      <c r="D8" s="34" t="s">
        <v>203</v>
      </c>
      <c r="E8" s="17">
        <v>239619</v>
      </c>
      <c r="F8" s="6">
        <v>1</v>
      </c>
      <c r="G8" s="6">
        <f>INT(E8/100000)</f>
        <v>2</v>
      </c>
      <c r="H8" s="6">
        <f>INT(($E8-100000*G8)/10000)</f>
        <v>3</v>
      </c>
      <c r="I8" s="6">
        <f>INT(($E8-100000*G8-10000*H8)/1000)</f>
        <v>9</v>
      </c>
      <c r="J8" s="6">
        <f>INT(($E8-100000*$G8-10000*$H8-1000*$I8)/100)</f>
        <v>6</v>
      </c>
      <c r="K8" s="6">
        <f>INT(($E8-100000*$G8-10000*$H8-1000*$I8-100*$J8)/10)</f>
        <v>1</v>
      </c>
      <c r="L8" s="6">
        <f>INT(($E8-100000*$G8-10000*$H8-1000*$I8-100*$J8-10*$K8))</f>
        <v>9</v>
      </c>
      <c r="M8" s="7">
        <v>2</v>
      </c>
      <c r="N8" s="18"/>
      <c r="O8" s="76">
        <f>10*LOG10((10^((100+10*LOG10(1/(4*PI()*(3+J8/2)^2)))/10)+10^((100-3+10*LOG10(1/(4*PI()*(3+J8/2)^2)))/10))/10^((100+10*LOG10(4*(1+L8/10)/(0.16*(2000+K8*100))))/10))</f>
        <v>-8.3355181724384533</v>
      </c>
      <c r="P8" s="7">
        <f>IF(N8="",0,IF(EXACT(RIGHT(N8,2),"dB"),IF(ABS(VALUE(LEFT(N8,FIND(" ",N8,1)))-O8)&lt;=0.5,1,-1),-1))</f>
        <v>0</v>
      </c>
      <c r="Q8" s="18"/>
      <c r="R8" s="35">
        <f>(10^((100-3+10*LOG10(1/(4*PI()*(3+J8/2)^2)))/10)*COS((90-(30+L8*6))/180*PI()))/(10^((100+10*LOG10(1/(4*PI()*(3+J8/2)^2)))/10)+10^((100-3+10*LOG10(1/(4*PI()*(3+J8/2)^2)))/10))</f>
        <v>0.33203165225233644</v>
      </c>
      <c r="S8" s="7">
        <f>IF(Q8="",0,IF(ABS(VALUE(Q8)-R8)&lt;=0.05,1,-1))</f>
        <v>0</v>
      </c>
      <c r="T8" s="18"/>
      <c r="U8" s="76">
        <f>10*LOG10(10^((100+10*LOG10(1/(4*PI()*(3+J8/2)^2)))/10)+10^((100-3+10*LOG10(1/(4*PI()*(3+J8/2)^2)))/10)+10^((100+10*LOG10(4*(1+L8/10)/(0.16*(2000+K8*100))))/10))-100+31</f>
        <v>15.139264390389243</v>
      </c>
      <c r="V8" s="7">
        <f>IF(T8="",0,IF(EXACT(RIGHT(T8,2),"dB"),IF(ABS(VALUE(LEFT(T8,FIND(" ",T8,1)))-U8)&lt;=0.5,1,-1),-1))</f>
        <v>0</v>
      </c>
      <c r="W8" s="58">
        <v>0.75927800000000001</v>
      </c>
      <c r="X8" s="35">
        <f>(0.5+L8/20)/(1+10^(-(5+K8)/10))</f>
        <v>0.75927799153255326</v>
      </c>
      <c r="Y8" s="7">
        <f>IF(W8="",0,IF(ABS(VALUE(W8)-X8)&lt;=0.05,1,-1))</f>
        <v>1</v>
      </c>
      <c r="Z8" s="34" t="s">
        <v>205</v>
      </c>
      <c r="AA8" s="76">
        <f>10*LOG10(1+((100+K8*10+L8)*(0.5+J8/20))/((0.1+J8/100)*(6*(5+L8/2)^2)))</f>
        <v>3.2197097909965038</v>
      </c>
      <c r="AB8" s="7">
        <f>IF(Z8="",0,IF(EXACT(RIGHT(Z8,2),"dB"),IF(ABS(VALUE(LEFT(Z8,FIND(" ",Z8,1)))-AA8)&lt;=0.5,1,-1),-1))</f>
        <v>1</v>
      </c>
      <c r="AC8" s="34">
        <v>0.7</v>
      </c>
      <c r="AD8" s="35">
        <f>0.3+L8/30+0.1</f>
        <v>0.7</v>
      </c>
      <c r="AE8" s="7">
        <f>IF(AC8="",0,IF(ABS(VALUE(AC8)-AD8)&lt;=0.05,1,-1))</f>
        <v>1</v>
      </c>
      <c r="AF8" s="34">
        <v>0.3</v>
      </c>
      <c r="AG8" s="35">
        <f>1-AD8</f>
        <v>0.30000000000000004</v>
      </c>
      <c r="AH8" s="7">
        <f>IF(AF8="",0,IF(ABS(VALUE(AF8)-AG8)&lt;=0.05,1,-1))</f>
        <v>1</v>
      </c>
      <c r="AI8" s="34" t="s">
        <v>204</v>
      </c>
      <c r="AJ8" s="76">
        <f>-10*LOG10(1-(0.3+K8/20))</f>
        <v>1.8708664335714442</v>
      </c>
      <c r="AK8" s="7">
        <f>IF(AI8="",0,IF(EXACT(RIGHT(AI8,2),"dB"),IF(ABS(ABS(VALUE(LEFT(AI8,FIND(" ",AI8,1))))-AJ8)&lt;=0.5,1,-1),-1))</f>
        <v>1</v>
      </c>
      <c r="AL8" s="34">
        <v>1.1607453000000001</v>
      </c>
      <c r="AM8" s="35">
        <f>((0.16*(200+K8*10+L8)/(2+K8/10))-0.16*(200+K8*10+L8)/(6+L8/10))/10</f>
        <v>1.1607453416149067</v>
      </c>
      <c r="AN8" s="7">
        <f>IF(AL8="",0,IF(ABS(VALUE(AL8)-AM8)&lt;=0.05,1,-1))</f>
        <v>1</v>
      </c>
      <c r="AO8" s="34" t="s">
        <v>206</v>
      </c>
      <c r="AP8" s="35">
        <f>((0.16*(200+K8*10+L8)/(2+K8/10))-0.16*(200+K8*10+L8)/(6+L8/10))/(10+J8)</f>
        <v>0.72546583850931667</v>
      </c>
      <c r="AQ8" s="7">
        <f>IF(AO8="",0,IF(EXACT(RIGHT(AO8,2),"m2"),IF(ABS(VALUE(LEFT(AO8,FIND(" ",AO8,1)))-AP8)&lt;=0.05,1,-1),-1))</f>
        <v>1</v>
      </c>
      <c r="AR8" s="47">
        <f>M8+P8+S8+V8+Y8+AB8+AE8+AH8+AK8+AN8+AQ8</f>
        <v>9</v>
      </c>
    </row>
    <row r="9" spans="1:48" ht="12.75" x14ac:dyDescent="0.2">
      <c r="A9" s="50">
        <v>7</v>
      </c>
      <c r="B9" s="33">
        <v>41950.766410011573</v>
      </c>
      <c r="C9" s="34" t="s">
        <v>221</v>
      </c>
      <c r="D9" s="34" t="s">
        <v>222</v>
      </c>
      <c r="E9" s="17">
        <v>239523</v>
      </c>
      <c r="F9" s="6">
        <v>1</v>
      </c>
      <c r="G9" s="6">
        <f>INT(E9/100000)</f>
        <v>2</v>
      </c>
      <c r="H9" s="6">
        <f>INT(($E9-100000*G9)/10000)</f>
        <v>3</v>
      </c>
      <c r="I9" s="6">
        <f>INT(($E9-100000*G9-10000*H9)/1000)</f>
        <v>9</v>
      </c>
      <c r="J9" s="6">
        <f>INT(($E9-100000*$G9-10000*$H9-1000*$I9)/100)</f>
        <v>5</v>
      </c>
      <c r="K9" s="6">
        <f>INT(($E9-100000*$G9-10000*$H9-1000*$I9-100*$J9)/10)</f>
        <v>2</v>
      </c>
      <c r="L9" s="6">
        <f>INT(($E9-100000*$G9-10000*$H9-1000*$I9-100*$J9-10*$K9))</f>
        <v>3</v>
      </c>
      <c r="M9" s="7">
        <v>2</v>
      </c>
      <c r="N9" s="18"/>
      <c r="O9" s="76">
        <f>10*LOG10((10^((100+10*LOG10(1/(4*PI()*(3+J9/2)^2)))/10)+10^((100-3+10*LOG10(1/(4*PI()*(3+J9/2)^2)))/10))/10^((100+10*LOG10(4*(1+L9/10)/(0.16*(2000+K9*100))))/10))</f>
        <v>-5.7296106073076638</v>
      </c>
      <c r="P9" s="7">
        <f>IF(N9="",0,IF(EXACT(RIGHT(N9,2),"dB"),IF(ABS(VALUE(LEFT(N9,FIND(" ",N9,1)))-O9)&lt;=0.5,1,-1),-1))</f>
        <v>0</v>
      </c>
      <c r="Q9" s="18"/>
      <c r="R9" s="35">
        <f>(10^((100-3+10*LOG10(1/(4*PI()*(3+J9/2)^2)))/10)*COS((90-(30+L9*6))/180*PI()))/(10^((100+10*LOG10(1/(4*PI()*(3+J9/2)^2)))/10)+10^((100-3+10*LOG10(1/(4*PI()*(3+J9/2)^2)))/10))</f>
        <v>0.24810675905195806</v>
      </c>
      <c r="S9" s="7">
        <f>IF(Q9="",0,IF(ABS(VALUE(Q9)-R9)&lt;=0.05,1,-1))</f>
        <v>0</v>
      </c>
      <c r="T9" s="18"/>
      <c r="U9" s="76">
        <f>10*LOG10(10^((100+10*LOG10(1/(4*PI()*(3+J9/2)^2)))/10)+10^((100-3+10*LOG10(1/(4*PI()*(3+J9/2)^2)))/10)+10^((100+10*LOG10(4*(1+L9/10)/(0.16*(2000+K9*100))))/10))-100+31</f>
        <v>13.723485480562715</v>
      </c>
      <c r="V9" s="7">
        <f>IF(T9="",0,IF(EXACT(RIGHT(T9,2),"dB"),IF(ABS(VALUE(LEFT(T9,FIND(" ",T9,1)))-U9)&lt;=0.5,1,-1),-1))</f>
        <v>0</v>
      </c>
      <c r="W9" s="58">
        <v>0.54188099999999995</v>
      </c>
      <c r="X9" s="35">
        <f>(0.5+L9/20)/(1+10^(-(5+K9)/10))</f>
        <v>0.54188060496923474</v>
      </c>
      <c r="Y9" s="7">
        <f>IF(W9="",0,IF(ABS(VALUE(W9)-X9)&lt;=0.05,1,-1))</f>
        <v>1</v>
      </c>
      <c r="Z9" s="34" t="s">
        <v>224</v>
      </c>
      <c r="AA9" s="76">
        <f>10*LOG10(1+((100+K9*10+L9)*(0.5+J9/20))/((0.1+J9/100)*(6*(5+L9/2)^2)))</f>
        <v>5.3479185911376259</v>
      </c>
      <c r="AB9" s="7">
        <f>IF(Z9="",0,IF(EXACT(RIGHT(Z9,2),"dB"),IF(ABS(VALUE(LEFT(Z9,FIND(" ",Z9,1)))-AA9)&lt;=0.5,1,-1),-1))</f>
        <v>1</v>
      </c>
      <c r="AC9" s="34">
        <v>0.5</v>
      </c>
      <c r="AD9" s="35">
        <f>0.3+L9/30+0.1</f>
        <v>0.5</v>
      </c>
      <c r="AE9" s="7">
        <f>IF(AC9="",0,IF(ABS(VALUE(AC9)-AD9)&lt;=0.05,1,-1))</f>
        <v>1</v>
      </c>
      <c r="AF9" s="34">
        <v>0.5</v>
      </c>
      <c r="AG9" s="35">
        <f>1-AD9</f>
        <v>0.5</v>
      </c>
      <c r="AH9" s="7">
        <f>IF(AF9="",0,IF(ABS(VALUE(AF9)-AG9)&lt;=0.05,1,-1))</f>
        <v>1</v>
      </c>
      <c r="AI9" s="34" t="s">
        <v>223</v>
      </c>
      <c r="AJ9" s="76">
        <f>-10*LOG10(1-(0.3+K9/20))</f>
        <v>2.2184874961635641</v>
      </c>
      <c r="AK9" s="7">
        <f>IF(AI9="",0,IF(EXACT(RIGHT(AI9,2),"dB"),IF(ABS(ABS(VALUE(LEFT(AI9,FIND(" ",AI9,1))))-AJ9)&lt;=0.5,1,-1),-1))</f>
        <v>1</v>
      </c>
      <c r="AL9" s="34">
        <v>1.055469</v>
      </c>
      <c r="AM9" s="35">
        <f>((0.16*(200+K9*10+L9)/(2+K9/10))-0.16*(200+K9*10+L9)/(6+L9/10))/10</f>
        <v>1.055468975468975</v>
      </c>
      <c r="AN9" s="7">
        <f>IF(AL9="",0,IF(ABS(VALUE(AL9)-AM9)&lt;=0.05,1,-1))</f>
        <v>1</v>
      </c>
      <c r="AO9" s="34" t="s">
        <v>225</v>
      </c>
      <c r="AP9" s="35">
        <f>((0.16*(200+K9*10+L9)/(2+K9/10))-0.16*(200+K9*10+L9)/(6+L9/10))/(10+J9)</f>
        <v>0.70364598364598341</v>
      </c>
      <c r="AQ9" s="7">
        <f>IF(AO9="",0,IF(EXACT(RIGHT(AO9,2),"m2"),IF(ABS(VALUE(LEFT(AO9,FIND(" ",AO9,1)))-AP9)&lt;=0.05,1,-1),-1))</f>
        <v>1</v>
      </c>
      <c r="AR9" s="47">
        <f>M9+P9+S9+V9+Y9+AB9+AE9+AH9+AK9+AN9+AQ9</f>
        <v>9</v>
      </c>
    </row>
    <row r="10" spans="1:48" ht="12.75" x14ac:dyDescent="0.2">
      <c r="A10" s="50">
        <v>8</v>
      </c>
      <c r="B10" s="33">
        <v>41950.76650967593</v>
      </c>
      <c r="C10" s="34" t="s">
        <v>241</v>
      </c>
      <c r="D10" s="34" t="s">
        <v>242</v>
      </c>
      <c r="E10" s="17">
        <v>239345</v>
      </c>
      <c r="F10" s="6">
        <v>1</v>
      </c>
      <c r="G10" s="6">
        <f>INT(E10/100000)</f>
        <v>2</v>
      </c>
      <c r="H10" s="6">
        <f>INT(($E10-100000*G10)/10000)</f>
        <v>3</v>
      </c>
      <c r="I10" s="6">
        <f>INT(($E10-100000*G10-10000*H10)/1000)</f>
        <v>9</v>
      </c>
      <c r="J10" s="6">
        <f>INT(($E10-100000*$G10-10000*$H10-1000*$I10)/100)</f>
        <v>3</v>
      </c>
      <c r="K10" s="6">
        <f>INT(($E10-100000*$G10-10000*$H10-1000*$I10-100*$J10)/10)</f>
        <v>4</v>
      </c>
      <c r="L10" s="6">
        <f>INT(($E10-100000*$G10-10000*$H10-1000*$I10-100*$J10-10*$K10))</f>
        <v>5</v>
      </c>
      <c r="M10" s="7">
        <v>2</v>
      </c>
      <c r="N10" s="18"/>
      <c r="O10" s="76">
        <f>10*LOG10((10^((100+10*LOG10(1/(4*PI()*(3+J10/2)^2)))/10)+10^((100-3+10*LOG10(1/(4*PI()*(3+J10/2)^2)))/10))/10^((100+10*LOG10(4*(1+L10/10)/(0.16*(2000+K10*100))))/10))</f>
        <v>-4.2302005515241019</v>
      </c>
      <c r="P10" s="7">
        <f>IF(N10="",0,IF(EXACT(RIGHT(N10,2),"dB"),IF(ABS(VALUE(LEFT(N10,FIND(" ",N10,1)))-O10)&lt;=0.5,1,-1),-1))</f>
        <v>0</v>
      </c>
      <c r="Q10" s="18"/>
      <c r="R10" s="35">
        <f>(10^((100-3+10*LOG10(1/(4*PI()*(3+J10/2)^2)))/10)*COS((90-(30+L10*6))/180*PI()))/(10^((100+10*LOG10(1/(4*PI()*(3+J10/2)^2)))/10)+10^((100-3+10*LOG10(1/(4*PI()*(3+J10/2)^2)))/10))</f>
        <v>0.28913173963310662</v>
      </c>
      <c r="S10" s="7">
        <f>IF(Q10="",0,IF(ABS(VALUE(Q10)-R10)&lt;=0.05,1,-1))</f>
        <v>0</v>
      </c>
      <c r="T10" s="18"/>
      <c r="U10" s="76">
        <f>10*LOG10(10^((100+10*LOG10(1/(4*PI()*(3+J10/2)^2)))/10)+10^((100-3+10*LOG10(1/(4*PI()*(3+J10/2)^2)))/10)+10^((100+10*LOG10(4*(1+L10/10)/(0.16*(2000+K10*100))))/10))-100+31</f>
        <v>14.329288963747373</v>
      </c>
      <c r="V10" s="7">
        <f>IF(T10="",0,IF(EXACT(RIGHT(T10,2),"dB"),IF(ABS(VALUE(LEFT(T10,FIND(" ",T10,1)))-U10)&lt;=0.5,1,-1),-1))</f>
        <v>0</v>
      </c>
      <c r="W10" s="58">
        <v>0.66600000000000004</v>
      </c>
      <c r="X10" s="35">
        <f>(0.5+L10/20)/(1+10^(-(5+K10)/10))</f>
        <v>0.66613817266641229</v>
      </c>
      <c r="Y10" s="7">
        <f>IF(W10="",0,IF(ABS(VALUE(W10)-X10)&lt;=0.05,1,-1))</f>
        <v>1</v>
      </c>
      <c r="Z10" s="34" t="s">
        <v>244</v>
      </c>
      <c r="AA10" s="76">
        <f>10*LOG10(1+((100+K10*10+L10)*(0.5+J10/20))/((0.1+J10/100)*(6*(5+L10/2)^2)))</f>
        <v>4.980551615553054</v>
      </c>
      <c r="AB10" s="7">
        <f>IF(Z10="",0,IF(EXACT(RIGHT(Z10,2),"dB"),IF(ABS(VALUE(LEFT(Z10,FIND(" ",Z10,1)))-AA10)&lt;=0.5,1,-1),-1))</f>
        <v>1</v>
      </c>
      <c r="AC10" s="34">
        <v>0.56699999999999995</v>
      </c>
      <c r="AD10" s="35">
        <f>0.3+L10/30+0.1</f>
        <v>0.56666666666666665</v>
      </c>
      <c r="AE10" s="7">
        <f>IF(AC10="",0,IF(ABS(VALUE(AC10)-AD10)&lt;=0.05,1,-1))</f>
        <v>1</v>
      </c>
      <c r="AF10" s="34">
        <v>0.433</v>
      </c>
      <c r="AG10" s="35">
        <f>1-AD10</f>
        <v>0.43333333333333335</v>
      </c>
      <c r="AH10" s="7">
        <f>IF(AF10="",0,IF(ABS(VALUE(AF10)-AG10)&lt;=0.05,1,-1))</f>
        <v>1</v>
      </c>
      <c r="AI10" s="34" t="s">
        <v>243</v>
      </c>
      <c r="AJ10" s="76">
        <f>-10*LOG10(1-(0.3+K10/20))</f>
        <v>3.0102999566398121</v>
      </c>
      <c r="AK10" s="7">
        <f>IF(AI10="",0,IF(EXACT(RIGHT(AI10,2),"dB"),IF(ABS(ABS(VALUE(LEFT(AI10,FIND(" ",AI10,1))))-AJ10)&lt;=0.5,1,-1),-1))</f>
        <v>1</v>
      </c>
      <c r="AL10" s="34">
        <v>1.03</v>
      </c>
      <c r="AM10" s="35">
        <f>((0.16*(200+K10*10+L10)/(2+K10/10))-0.16*(200+K10*10+L10)/(6+L10/10))/10</f>
        <v>1.0302564102564105</v>
      </c>
      <c r="AN10" s="7">
        <f>IF(AL10="",0,IF(ABS(VALUE(AL10)-AM10)&lt;=0.05,1,-1))</f>
        <v>1</v>
      </c>
      <c r="AO10" s="34" t="s">
        <v>1027</v>
      </c>
      <c r="AP10" s="35">
        <f>((0.16*(200+K10*10+L10)/(2+K10/10))-0.16*(200+K10*10+L10)/(6+L10/10))/(10+J10)</f>
        <v>0.79250493096646957</v>
      </c>
      <c r="AQ10" s="7">
        <f>IF(AO10="",0,IF(EXACT(RIGHT(AO10,2),"m2"),IF(ABS(VALUE(LEFT(AO10,FIND(" ",AO10,1)))-AP10)&lt;=0.05,1,-1),-1))</f>
        <v>1</v>
      </c>
      <c r="AR10" s="47">
        <f>M10+P10+S10+V10+Y10+AB10+AE10+AH10+AK10+AN10+AQ10</f>
        <v>9</v>
      </c>
    </row>
    <row r="11" spans="1:48" ht="12.75" x14ac:dyDescent="0.2">
      <c r="A11" s="50">
        <v>9</v>
      </c>
      <c r="B11" s="33">
        <v>41950.766573726854</v>
      </c>
      <c r="C11" s="34" t="s">
        <v>263</v>
      </c>
      <c r="D11" s="34" t="s">
        <v>264</v>
      </c>
      <c r="E11" s="17">
        <v>242601</v>
      </c>
      <c r="F11" s="6">
        <v>1</v>
      </c>
      <c r="G11" s="6">
        <f>INT(E11/100000)</f>
        <v>2</v>
      </c>
      <c r="H11" s="6">
        <f>INT(($E11-100000*G11)/10000)</f>
        <v>4</v>
      </c>
      <c r="I11" s="6">
        <f>INT(($E11-100000*G11-10000*H11)/1000)</f>
        <v>2</v>
      </c>
      <c r="J11" s="6">
        <f>INT(($E11-100000*$G11-10000*$H11-1000*$I11)/100)</f>
        <v>6</v>
      </c>
      <c r="K11" s="6">
        <f>INT(($E11-100000*$G11-10000*$H11-1000*$I11-100*$J11)/10)</f>
        <v>0</v>
      </c>
      <c r="L11" s="6">
        <f>INT(($E11-100000*$G11-10000*$H11-1000*$I11-100*$J11-10*$K11))</f>
        <v>1</v>
      </c>
      <c r="M11" s="7">
        <v>2</v>
      </c>
      <c r="N11" s="18"/>
      <c r="O11" s="76">
        <f>10*LOG10((10^((100+10*LOG10(1/(4*PI()*(3+J11/2)^2)))/10)+10^((100-3+10*LOG10(1/(4*PI()*(3+J11/2)^2)))/10))/10^((100+10*LOG10(4*(1+L11/10)/(0.16*(2000+K11*100))))/10))</f>
        <v>-6.1738020051917966</v>
      </c>
      <c r="P11" s="7">
        <f>IF(N11="",0,IF(EXACT(RIGHT(N11,2),"dB"),IF(ABS(VALUE(LEFT(N11,FIND(" ",N11,1)))-O11)&lt;=0.5,1,-1),-1))</f>
        <v>0</v>
      </c>
      <c r="Q11" s="18"/>
      <c r="R11" s="35">
        <f>(10^((100-3+10*LOG10(1/(4*PI()*(3+J11/2)^2)))/10)*COS((90-(30+L11*6))/180*PI()))/(10^((100+10*LOG10(1/(4*PI()*(3+J11/2)^2)))/10)+10^((100-3+10*LOG10(1/(4*PI()*(3+J11/2)^2)))/10))</f>
        <v>0.1962383225519202</v>
      </c>
      <c r="S11" s="7">
        <f>IF(Q11="",0,IF(ABS(VALUE(Q11)-R11)&lt;=0.05,1,-1))</f>
        <v>0</v>
      </c>
      <c r="T11" s="18"/>
      <c r="U11" s="76">
        <f>10*LOG10(10^((100+10*LOG10(1/(4*PI()*(3+J11/2)^2)))/10)+10^((100-3+10*LOG10(1/(4*PI()*(3+J11/2)^2)))/10)+10^((100+10*LOG10(4*(1+L11/10)/(0.16*(2000+K11*100))))/10))-100+31</f>
        <v>13.32191599461234</v>
      </c>
      <c r="V11" s="7">
        <f>IF(T11="",0,IF(EXACT(RIGHT(T11,2),"dB"),IF(ABS(VALUE(LEFT(T11,FIND(" ",T11,1)))-U11)&lt;=0.5,1,-1),-1))</f>
        <v>0</v>
      </c>
      <c r="W11" s="58">
        <v>0.41786000000000001</v>
      </c>
      <c r="X11" s="35">
        <f>(0.5+L11/20)/(1+10^(-(5+K11)/10))</f>
        <v>0.41786080965637684</v>
      </c>
      <c r="Y11" s="7">
        <f>IF(W11="",0,IF(ABS(VALUE(W11)-X11)&lt;=0.05,1,-1))</f>
        <v>1</v>
      </c>
      <c r="Z11" s="34" t="s">
        <v>266</v>
      </c>
      <c r="AA11" s="76">
        <f>10*LOG10(1+((100+K11*10+L11)*(0.5+J11/20))/((0.1+J11/100)*(6*(5+L11/2)^2)))</f>
        <v>5.777639122006426</v>
      </c>
      <c r="AB11" s="7">
        <f>IF(Z11="",0,IF(EXACT(RIGHT(Z11,2),"dB"),IF(ABS(VALUE(LEFT(Z11,FIND(" ",Z11,1)))-AA11)&lt;=0.5,1,-1),-1))</f>
        <v>1</v>
      </c>
      <c r="AC11" s="34">
        <v>0.43330000000000002</v>
      </c>
      <c r="AD11" s="35">
        <f>0.3+L11/30+0.1</f>
        <v>0.43333333333333335</v>
      </c>
      <c r="AE11" s="7">
        <f>IF(AC11="",0,IF(ABS(VALUE(AC11)-AD11)&lt;=0.05,1,-1))</f>
        <v>1</v>
      </c>
      <c r="AF11" s="34">
        <v>0.56699999999999995</v>
      </c>
      <c r="AG11" s="35">
        <f>1-AD11</f>
        <v>0.56666666666666665</v>
      </c>
      <c r="AH11" s="7">
        <f>IF(AF11="",0,IF(ABS(VALUE(AF11)-AG11)&lt;=0.05,1,-1))</f>
        <v>1</v>
      </c>
      <c r="AI11" s="34" t="s">
        <v>265</v>
      </c>
      <c r="AJ11" s="76">
        <f>-10*LOG10(1-(0.3+K11/20))</f>
        <v>1.5490195998574319</v>
      </c>
      <c r="AK11" s="7">
        <f>IF(AI11="",0,IF(EXACT(RIGHT(AI11,2),"dB"),IF(ABS(ABS(VALUE(LEFT(AI11,FIND(" ",AI11,1))))-AJ11)&lt;=0.5,1,-1),-1))</f>
        <v>1</v>
      </c>
      <c r="AL11" s="34">
        <v>1.07541</v>
      </c>
      <c r="AM11" s="35">
        <f>((0.16*(200+K11*10+L11)/(2+K11/10))-0.16*(200+K11*10+L11)/(6+L11/10))/10</f>
        <v>1.0807868852459017</v>
      </c>
      <c r="AN11" s="7">
        <f>IF(AL11="",0,IF(ABS(VALUE(AL11)-AM11)&lt;=0.05,1,-1))</f>
        <v>1</v>
      </c>
      <c r="AO11" s="34" t="s">
        <v>267</v>
      </c>
      <c r="AP11" s="35">
        <f>((0.16*(200+K11*10+L11)/(2+K11/10))-0.16*(200+K11*10+L11)/(6+L11/10))/(10+J11)</f>
        <v>0.67549180327868852</v>
      </c>
      <c r="AQ11" s="7">
        <f>IF(AO11="",0,IF(EXACT(RIGHT(AO11,2),"m2"),IF(ABS(VALUE(LEFT(AO11,FIND(" ",AO11,1)))-AP11)&lt;=0.05,1,-1),-1))</f>
        <v>1</v>
      </c>
      <c r="AR11" s="47">
        <f>M11+P11+S11+V11+Y11+AB11+AE11+AH11+AK11+AN11+AQ11</f>
        <v>9</v>
      </c>
    </row>
    <row r="12" spans="1:48" ht="12.75" x14ac:dyDescent="0.2">
      <c r="A12" s="50">
        <v>10</v>
      </c>
      <c r="B12" s="33">
        <v>41950.766590416664</v>
      </c>
      <c r="C12" s="34" t="s">
        <v>268</v>
      </c>
      <c r="D12" s="34" t="s">
        <v>269</v>
      </c>
      <c r="E12" s="17">
        <v>240230</v>
      </c>
      <c r="F12" s="6">
        <v>1</v>
      </c>
      <c r="G12" s="6">
        <f>INT(E12/100000)</f>
        <v>2</v>
      </c>
      <c r="H12" s="6">
        <f>INT(($E12-100000*G12)/10000)</f>
        <v>4</v>
      </c>
      <c r="I12" s="6">
        <f>INT(($E12-100000*G12-10000*H12)/1000)</f>
        <v>0</v>
      </c>
      <c r="J12" s="6">
        <f>INT(($E12-100000*$G12-10000*$H12-1000*$I12)/100)</f>
        <v>2</v>
      </c>
      <c r="K12" s="6">
        <f>INT(($E12-100000*$G12-10000*$H12-1000*$I12-100*$J12)/10)</f>
        <v>3</v>
      </c>
      <c r="L12" s="6">
        <f>INT(($E12-100000*$G12-10000*$H12-1000*$I12-100*$J12-10*$K12))</f>
        <v>0</v>
      </c>
      <c r="M12" s="7">
        <v>2</v>
      </c>
      <c r="N12" s="18"/>
      <c r="O12" s="76">
        <f>10*LOG10((10^((100+10*LOG10(1/(4*PI()*(3+J12/2)^2)))/10)+10^((100-3+10*LOG10(1/(4*PI()*(3+J12/2)^2)))/10))/10^((100+10*LOG10(4*(1+L12/10)/(0.16*(2000+K12*100))))/10))</f>
        <v>-1.6310715689597943</v>
      </c>
      <c r="P12" s="7">
        <f>IF(N12="",0,IF(EXACT(RIGHT(N12,2),"dB"),IF(ABS(VALUE(LEFT(N12,FIND(" ",N12,1)))-O12)&lt;=0.5,1,-1),-1))</f>
        <v>0</v>
      </c>
      <c r="Q12" s="18"/>
      <c r="R12" s="35">
        <f>(10^((100-3+10*LOG10(1/(4*PI()*(3+J12/2)^2)))/10)*COS((90-(30+L12*6))/180*PI()))/(10^((100+10*LOG10(1/(4*PI()*(3+J12/2)^2)))/10)+10^((100-3+10*LOG10(1/(4*PI()*(3+J12/2)^2)))/10))</f>
        <v>0.16693028770843893</v>
      </c>
      <c r="S12" s="7">
        <f>IF(Q12="",0,IF(ABS(VALUE(Q12)-R12)&lt;=0.05,1,-1))</f>
        <v>0</v>
      </c>
      <c r="T12" s="18"/>
      <c r="U12" s="76">
        <f>10*LOG10(10^((100+10*LOG10(1/(4*PI()*(3+J12/2)^2)))/10)+10^((100-3+10*LOG10(1/(4*PI()*(3+J12/2)^2)))/10)+10^((100+10*LOG10(4*(1+L12/10)/(0.16*(2000+K12*100))))/10))-100+31</f>
        <v>13.633012367293759</v>
      </c>
      <c r="V12" s="7">
        <f>IF(T12="",0,IF(EXACT(RIGHT(T12,2),"dB"),IF(ABS(VALUE(LEFT(T12,FIND(" ",T12,1)))-U12)&lt;=0.5,1,-1),-1))</f>
        <v>0</v>
      </c>
      <c r="W12" s="58">
        <v>0.43159599999999998</v>
      </c>
      <c r="X12" s="35">
        <f>(0.5+L12/20)/(1+10^(-(5+K12)/10))</f>
        <v>0.43159655569839506</v>
      </c>
      <c r="Y12" s="7">
        <f>IF(W12="",0,IF(ABS(VALUE(W12)-X12)&lt;=0.05,1,-1))</f>
        <v>1</v>
      </c>
      <c r="Z12" s="34" t="s">
        <v>271</v>
      </c>
      <c r="AA12" s="76">
        <f>10*LOG10(1+((100+K12*10+L12)*(0.5+J12/20))/((0.1+J12/100)*(6*(5+L12/2)^2)))</f>
        <v>7.2699872793626232</v>
      </c>
      <c r="AB12" s="7">
        <f>IF(Z12="",0,IF(EXACT(RIGHT(Z12,2),"dB"),IF(ABS(VALUE(LEFT(Z12,FIND(" ",Z12,1)))-AA12)&lt;=0.5,1,-1),-1))</f>
        <v>1</v>
      </c>
      <c r="AC12" s="34">
        <v>0.4</v>
      </c>
      <c r="AD12" s="35">
        <f>0.3+L12/30+0.1</f>
        <v>0.4</v>
      </c>
      <c r="AE12" s="7">
        <f>IF(AC12="",0,IF(ABS(VALUE(AC12)-AD12)&lt;=0.05,1,-1))</f>
        <v>1</v>
      </c>
      <c r="AF12" s="34">
        <v>0.6</v>
      </c>
      <c r="AG12" s="35">
        <f>1-AD12</f>
        <v>0.6</v>
      </c>
      <c r="AH12" s="7">
        <f>IF(AF12="",0,IF(ABS(VALUE(AF12)-AG12)&lt;=0.05,1,-1))</f>
        <v>1</v>
      </c>
      <c r="AI12" s="34" t="s">
        <v>270</v>
      </c>
      <c r="AJ12" s="76">
        <f>-10*LOG10(1-(0.3+K12/20))</f>
        <v>2.5963731050575611</v>
      </c>
      <c r="AK12" s="7">
        <f>IF(AI12="",0,IF(EXACT(RIGHT(AI12,2),"dB"),IF(ABS(ABS(VALUE(LEFT(AI12,FIND(" ",AI12,1))))-AJ12)&lt;=0.5,1,-1),-1))</f>
        <v>1</v>
      </c>
      <c r="AL12" s="34">
        <v>0.98666666000000003</v>
      </c>
      <c r="AM12" s="35">
        <f>((0.16*(200+K12*10+L12)/(2+K12/10))-0.16*(200+K12*10+L12)/(6+L12/10))/10</f>
        <v>0.98666666666666702</v>
      </c>
      <c r="AN12" s="7">
        <f>IF(AL12="",0,IF(ABS(VALUE(AL12)-AM12)&lt;=0.05,1,-1))</f>
        <v>1</v>
      </c>
      <c r="AO12" s="34" t="s">
        <v>272</v>
      </c>
      <c r="AP12" s="35">
        <f>((0.16*(200+K12*10+L12)/(2+K12/10))-0.16*(200+K12*10+L12)/(6+L12/10))/(10+J12)</f>
        <v>0.82222222222222252</v>
      </c>
      <c r="AQ12" s="7">
        <f>IF(AO12="",0,IF(EXACT(RIGHT(AO12,2),"m2"),IF(ABS(VALUE(LEFT(AO12,FIND(" ",AO12,1)))-AP12)&lt;=0.05,1,-1),-1))</f>
        <v>1</v>
      </c>
      <c r="AR12" s="47">
        <f>M12+P12+S12+V12+Y12+AB12+AE12+AH12+AK12+AN12+AQ12</f>
        <v>9</v>
      </c>
    </row>
    <row r="13" spans="1:48" ht="12.75" x14ac:dyDescent="0.2">
      <c r="A13" s="50">
        <v>11</v>
      </c>
      <c r="B13" s="33">
        <v>41950.766847083331</v>
      </c>
      <c r="C13" s="34" t="s">
        <v>293</v>
      </c>
      <c r="D13" s="34" t="s">
        <v>294</v>
      </c>
      <c r="E13" s="17">
        <v>240609</v>
      </c>
      <c r="F13" s="6">
        <v>1</v>
      </c>
      <c r="G13" s="6">
        <f>INT(E13/100000)</f>
        <v>2</v>
      </c>
      <c r="H13" s="6">
        <f>INT(($E13-100000*G13)/10000)</f>
        <v>4</v>
      </c>
      <c r="I13" s="6">
        <f>INT(($E13-100000*G13-10000*H13)/1000)</f>
        <v>0</v>
      </c>
      <c r="J13" s="6">
        <f>INT(($E13-100000*$G13-10000*$H13-1000*$I13)/100)</f>
        <v>6</v>
      </c>
      <c r="K13" s="6">
        <f>INT(($E13-100000*$G13-10000*$H13-1000*$I13-100*$J13)/10)</f>
        <v>0</v>
      </c>
      <c r="L13" s="6">
        <f>INT(($E13-100000*$G13-10000*$H13-1000*$I13-100*$J13-10*$K13))</f>
        <v>9</v>
      </c>
      <c r="M13" s="7">
        <v>2</v>
      </c>
      <c r="N13" s="18"/>
      <c r="O13" s="76">
        <f>10*LOG10((10^((100+10*LOG10(1/(4*PI()*(3+J13/2)^2)))/10)+10^((100-3+10*LOG10(1/(4*PI()*(3+J13/2)^2)))/10))/10^((100+10*LOG10(4*(1+L13/10)/(0.16*(2000+K13*100))))/10))</f>
        <v>-8.5474111631378342</v>
      </c>
      <c r="P13" s="7">
        <f>IF(N13="",0,IF(EXACT(RIGHT(N13,2),"dB"),IF(ABS(VALUE(LEFT(N13,FIND(" ",N13,1)))-O13)&lt;=0.5,1,-1),-1))</f>
        <v>0</v>
      </c>
      <c r="Q13" s="18"/>
      <c r="R13" s="35">
        <f>(10^((100-3+10*LOG10(1/(4*PI()*(3+J13/2)^2)))/10)*COS((90-(30+L13*6))/180*PI()))/(10^((100+10*LOG10(1/(4*PI()*(3+J13/2)^2)))/10)+10^((100-3+10*LOG10(1/(4*PI()*(3+J13/2)^2)))/10))</f>
        <v>0.33203165225233644</v>
      </c>
      <c r="S13" s="7">
        <f>IF(Q13="",0,IF(ABS(VALUE(Q13)-R13)&lt;=0.05,1,-1))</f>
        <v>0</v>
      </c>
      <c r="T13" s="18"/>
      <c r="U13" s="76">
        <f>10*LOG10(10^((100+10*LOG10(1/(4*PI()*(3+J13/2)^2)))/10)+10^((100-3+10*LOG10(1/(4*PI()*(3+J13/2)^2)))/10)+10^((100+10*LOG10(4*(1+L13/10)/(0.16*(2000+K13*100))))/10))-100+31</f>
        <v>15.324618209767721</v>
      </c>
      <c r="V13" s="7">
        <f>IF(T13="",0,IF(EXACT(RIGHT(T13,2),"dB"),IF(ABS(VALUE(LEFT(T13,FIND(" ",T13,1)))-U13)&lt;=0.5,1,-1),-1))</f>
        <v>0</v>
      </c>
      <c r="W13" s="58">
        <v>0.72175999999999996</v>
      </c>
      <c r="X13" s="35">
        <f>(0.5+L13/20)/(1+10^(-(5+K13)/10))</f>
        <v>0.72175958031555987</v>
      </c>
      <c r="Y13" s="7">
        <f>IF(W13="",0,IF(ABS(VALUE(W13)-X13)&lt;=0.05,1,-1))</f>
        <v>1</v>
      </c>
      <c r="Z13" s="34" t="s">
        <v>296</v>
      </c>
      <c r="AA13" s="76">
        <f>10*LOG10(1+((100+K13*10+L13)*(0.5+J13/20))/((0.1+J13/100)*(6*(5+L13/2)^2)))</f>
        <v>3.0243126969520411</v>
      </c>
      <c r="AB13" s="7">
        <f>IF(Z13="",0,IF(EXACT(RIGHT(Z13,2),"dB"),IF(ABS(VALUE(LEFT(Z13,FIND(" ",Z13,1)))-AA13)&lt;=0.5,1,-1),-1))</f>
        <v>1</v>
      </c>
      <c r="AC13" s="34">
        <v>0.7</v>
      </c>
      <c r="AD13" s="35">
        <f>0.3+L13/30+0.1</f>
        <v>0.7</v>
      </c>
      <c r="AE13" s="7">
        <f>IF(AC13="",0,IF(ABS(VALUE(AC13)-AD13)&lt;=0.05,1,-1))</f>
        <v>1</v>
      </c>
      <c r="AF13" s="34">
        <v>0.3</v>
      </c>
      <c r="AG13" s="35">
        <f>1-AD13</f>
        <v>0.30000000000000004</v>
      </c>
      <c r="AH13" s="7">
        <f>IF(AF13="",0,IF(ABS(VALUE(AF13)-AG13)&lt;=0.05,1,-1))</f>
        <v>1</v>
      </c>
      <c r="AI13" s="34" t="s">
        <v>295</v>
      </c>
      <c r="AJ13" s="76">
        <f>-10*LOG10(1-(0.3+K13/20))</f>
        <v>1.5490195998574319</v>
      </c>
      <c r="AK13" s="7">
        <f>IF(AI13="",0,IF(EXACT(RIGHT(AI13,2),"dB"),IF(ABS(ABS(VALUE(LEFT(AI13,FIND(" ",AI13,1))))-AJ13)&lt;=0.5,1,-1),-1))</f>
        <v>1</v>
      </c>
      <c r="AL13" s="34">
        <v>1.1873624</v>
      </c>
      <c r="AM13" s="35">
        <f>((0.16*(200+K13*10+L13)/(2+K13/10))-0.16*(200+K13*10+L13)/(6+L13/10))/10</f>
        <v>1.1873623188405795</v>
      </c>
      <c r="AN13" s="7">
        <f>IF(AL13="",0,IF(ABS(VALUE(AL13)-AM13)&lt;=0.05,1,-1))</f>
        <v>1</v>
      </c>
      <c r="AO13" s="34" t="s">
        <v>297</v>
      </c>
      <c r="AP13" s="35">
        <f>((0.16*(200+K13*10+L13)/(2+K13/10))-0.16*(200+K13*10+L13)/(6+L13/10))/(10+J13)</f>
        <v>0.74210144927536226</v>
      </c>
      <c r="AQ13" s="7">
        <f>IF(AO13="",0,IF(EXACT(RIGHT(AO13,2),"m2"),IF(ABS(VALUE(LEFT(AO13,FIND(" ",AO13,1)))-AP13)&lt;=0.05,1,-1),-1))</f>
        <v>1</v>
      </c>
      <c r="AR13" s="47">
        <f>M13+P13+S13+V13+Y13+AB13+AE13+AH13+AK13+AN13+AQ13</f>
        <v>9</v>
      </c>
    </row>
    <row r="14" spans="1:48" ht="12.75" x14ac:dyDescent="0.2">
      <c r="A14" s="50">
        <v>12</v>
      </c>
      <c r="B14" s="33">
        <v>41950.766853749992</v>
      </c>
      <c r="C14" s="34" t="s">
        <v>298</v>
      </c>
      <c r="D14" s="34" t="s">
        <v>299</v>
      </c>
      <c r="E14" s="17">
        <v>239480</v>
      </c>
      <c r="F14" s="6">
        <v>1</v>
      </c>
      <c r="G14" s="6">
        <f>INT(E14/100000)</f>
        <v>2</v>
      </c>
      <c r="H14" s="6">
        <f>INT(($E14-100000*G14)/10000)</f>
        <v>3</v>
      </c>
      <c r="I14" s="6">
        <f>INT(($E14-100000*G14-10000*H14)/1000)</f>
        <v>9</v>
      </c>
      <c r="J14" s="6">
        <f>INT(($E14-100000*$G14-10000*$H14-1000*$I14)/100)</f>
        <v>4</v>
      </c>
      <c r="K14" s="6">
        <f>INT(($E14-100000*$G14-10000*$H14-1000*$I14-100*$J14)/10)</f>
        <v>8</v>
      </c>
      <c r="L14" s="6">
        <f>INT(($E14-100000*$G14-10000*$H14-1000*$I14-100*$J14-10*$K14))</f>
        <v>0</v>
      </c>
      <c r="M14" s="7">
        <v>2</v>
      </c>
      <c r="N14" s="18"/>
      <c r="O14" s="76">
        <f>10*LOG10((10^((100+10*LOG10(1/(4*PI()*(3+J14/2)^2)))/10)+10^((100-3+10*LOG10(1/(4*PI()*(3+J14/2)^2)))/10))/10^((100+10*LOG10(4*(1+L14/10)/(0.16*(2000+K14*100))))/10))</f>
        <v>-2.7149698758746572</v>
      </c>
      <c r="P14" s="7">
        <f>IF(N14="",0,IF(EXACT(RIGHT(N14,2),"dB"),IF(ABS(VALUE(LEFT(N14,FIND(" ",N14,1)))-O14)&lt;=0.5,1,-1),-1))</f>
        <v>0</v>
      </c>
      <c r="Q14" s="18"/>
      <c r="R14" s="35">
        <f>(10^((100-3+10*LOG10(1/(4*PI()*(3+J14/2)^2)))/10)*COS((90-(30+L14*6))/180*PI()))/(10^((100+10*LOG10(1/(4*PI()*(3+J14/2)^2)))/10)+10^((100-3+10*LOG10(1/(4*PI()*(3+J14/2)^2)))/10))</f>
        <v>0.16693028770843893</v>
      </c>
      <c r="S14" s="7">
        <f>IF(Q14="",0,IF(ABS(VALUE(Q14)-R14)&lt;=0.05,1,-1))</f>
        <v>0</v>
      </c>
      <c r="T14" s="18"/>
      <c r="U14" s="76">
        <f>10*LOG10(10^((100+10*LOG10(1/(4*PI()*(3+J14/2)^2)))/10)+10^((100-3+10*LOG10(1/(4*PI()*(3+J14/2)^2)))/10)+10^((100+10*LOG10(4*(1+L14/10)/(0.16*(2000+K14*100))))/10))-100+31</f>
        <v>12.369423748600994</v>
      </c>
      <c r="V14" s="7">
        <f>IF(T14="",0,IF(EXACT(RIGHT(T14,2),"dB"),IF(ABS(VALUE(LEFT(T14,FIND(" ",T14,1)))-U14)&lt;=0.5,1,-1),-1))</f>
        <v>0</v>
      </c>
      <c r="W14" s="58">
        <v>0.47610000000000002</v>
      </c>
      <c r="X14" s="35">
        <f>(0.5+L14/20)/(1+10^(-(5+K14)/10))</f>
        <v>0.47613663948289808</v>
      </c>
      <c r="Y14" s="7">
        <f>IF(W14="",0,IF(ABS(VALUE(W14)-X14)&lt;=0.05,1,-1))</f>
        <v>1</v>
      </c>
      <c r="Z14" s="34" t="s">
        <v>301</v>
      </c>
      <c r="AA14" s="76">
        <f>10*LOG10(1+((100+K14*10+L14)*(0.5+J14/20))/((0.1+J14/100)*(6*(5+L14/2)^2)))</f>
        <v>8.4509804001425675</v>
      </c>
      <c r="AB14" s="7">
        <f>IF(Z14="",0,IF(EXACT(RIGHT(Z14,2),"dB"),IF(ABS(VALUE(LEFT(Z14,FIND(" ",Z14,1)))-AA14)&lt;=0.5,1,-1),-1))</f>
        <v>1</v>
      </c>
      <c r="AC14" s="34">
        <v>0.4</v>
      </c>
      <c r="AD14" s="35">
        <f>0.3+L14/30+0.1</f>
        <v>0.4</v>
      </c>
      <c r="AE14" s="7">
        <f>IF(AC14="",0,IF(ABS(VALUE(AC14)-AD14)&lt;=0.05,1,-1))</f>
        <v>1</v>
      </c>
      <c r="AF14" s="34">
        <v>0.6</v>
      </c>
      <c r="AG14" s="35">
        <f>1-AD14</f>
        <v>0.6</v>
      </c>
      <c r="AH14" s="7">
        <f>IF(AF14="",0,IF(ABS(VALUE(AF14)-AG14)&lt;=0.05,1,-1))</f>
        <v>1</v>
      </c>
      <c r="AI14" s="34" t="s">
        <v>300</v>
      </c>
      <c r="AJ14" s="76">
        <f>-10*LOG10(1-(0.3+K14/20))</f>
        <v>5.2287874528033749</v>
      </c>
      <c r="AK14" s="7">
        <f>IF(AI14="",0,IF(EXACT(RIGHT(AI14,2),"dB"),IF(ABS(ABS(VALUE(LEFT(AI14,FIND(" ",AI14,1))))-AJ14)&lt;=0.5,1,-1),-1))</f>
        <v>1</v>
      </c>
      <c r="AL14" s="34">
        <v>0.85329999999999995</v>
      </c>
      <c r="AM14" s="35">
        <f>((0.16*(200+K14*10+L14)/(2+K14/10))-0.16*(200+K14*10+L14)/(6+L14/10))/10</f>
        <v>0.8533333333333335</v>
      </c>
      <c r="AN14" s="7">
        <f>IF(AL14="",0,IF(ABS(VALUE(AL14)-AM14)&lt;=0.05,1,-1))</f>
        <v>1</v>
      </c>
      <c r="AO14" s="34" t="s">
        <v>302</v>
      </c>
      <c r="AP14" s="35">
        <f>((0.16*(200+K14*10+L14)/(2+K14/10))-0.16*(200+K14*10+L14)/(6+L14/10))/(10+J14)</f>
        <v>0.60952380952380969</v>
      </c>
      <c r="AQ14" s="7">
        <f>IF(AO14="",0,IF(EXACT(RIGHT(AO14,2),"m2"),IF(ABS(VALUE(LEFT(AO14,FIND(" ",AO14,1)))-AP14)&lt;=0.05,1,-1),-1))</f>
        <v>1</v>
      </c>
      <c r="AR14" s="47">
        <f>M14+P14+S14+V14+Y14+AB14+AE14+AH14+AK14+AN14+AQ14</f>
        <v>9</v>
      </c>
    </row>
    <row r="15" spans="1:48" ht="12.75" x14ac:dyDescent="0.2">
      <c r="A15" s="50">
        <v>13</v>
      </c>
      <c r="B15" s="33">
        <v>41950.766893657405</v>
      </c>
      <c r="C15" s="34" t="s">
        <v>126</v>
      </c>
      <c r="D15" s="34" t="s">
        <v>127</v>
      </c>
      <c r="E15" s="17">
        <v>241012</v>
      </c>
      <c r="F15" s="6">
        <v>1</v>
      </c>
      <c r="G15" s="6">
        <f>INT(E15/100000)</f>
        <v>2</v>
      </c>
      <c r="H15" s="6">
        <f>INT(($E15-100000*G15)/10000)</f>
        <v>4</v>
      </c>
      <c r="I15" s="6">
        <f>INT(($E15-100000*G15-10000*H15)/1000)</f>
        <v>1</v>
      </c>
      <c r="J15" s="6">
        <f>INT(($E15-100000*$G15-10000*$H15-1000*$I15)/100)</f>
        <v>0</v>
      </c>
      <c r="K15" s="6">
        <f>INT(($E15-100000*$G15-10000*$H15-1000*$I15-100*$J15)/10)</f>
        <v>1</v>
      </c>
      <c r="L15" s="6">
        <f>INT(($E15-100000*$G15-10000*$H15-1000*$I15-100*$J15-10*$K15))</f>
        <v>2</v>
      </c>
      <c r="M15" s="7">
        <v>2</v>
      </c>
      <c r="N15" s="18"/>
      <c r="O15" s="76">
        <f>10*LOG10((10^((100+10*LOG10(1/(4*PI()*(3+J15/2)^2)))/10)+10^((100-3+10*LOG10(1/(4*PI()*(3+J15/2)^2)))/10))/10^((100+10*LOG10(4*(1+L15/10)/(0.16*(2000+K15*100))))/10))</f>
        <v>-0.31919471010678652</v>
      </c>
      <c r="P15" s="7">
        <f>IF(N15="",0,IF(EXACT(RIGHT(N15,2),"dB"),IF(ABS(VALUE(LEFT(N15,FIND(" ",N15,1)))-O15)&lt;=0.5,1,-1),-1))</f>
        <v>0</v>
      </c>
      <c r="Q15" s="18"/>
      <c r="R15" s="35">
        <f>(10^((100-3+10*LOG10(1/(4*PI()*(3+J15/2)^2)))/10)*COS((90-(30+L15*6))/180*PI()))/(10^((100+10*LOG10(1/(4*PI()*(3+J15/2)^2)))/10)+10^((100-3+10*LOG10(1/(4*PI()*(3+J15/2)^2)))/10))</f>
        <v>0.22339632926801328</v>
      </c>
      <c r="S15" s="7">
        <f>IF(Q15="",0,IF(ABS(VALUE(Q15)-R15)&lt;=0.05,1,-1))</f>
        <v>0</v>
      </c>
      <c r="T15" s="18"/>
      <c r="U15" s="76">
        <f>10*LOG10(10^((100+10*LOG10(1/(4*PI()*(3+J15/2)^2)))/10)+10^((100-3+10*LOG10(1/(4*PI()*(3+J15/2)^2)))/10)+10^((100+10*LOG10(4*(1+L15/10)/(0.16*(2000+K15*100))))/10))-100+31</f>
        <v>15.40265403524009</v>
      </c>
      <c r="V15" s="7">
        <f>IF(T15="",0,IF(EXACT(RIGHT(T15,2),"dB"),IF(ABS(VALUE(LEFT(T15,FIND(" ",T15,1)))-U15)&lt;=0.5,1,-1),-1))</f>
        <v>0</v>
      </c>
      <c r="W15" s="58">
        <v>0.47954000000000002</v>
      </c>
      <c r="X15" s="35">
        <f>(0.5+L15/20)/(1+10^(-(5+K15)/10))</f>
        <v>0.47954399465213893</v>
      </c>
      <c r="Y15" s="7">
        <f>IF(W15="",0,IF(ABS(VALUE(W15)-X15)&lt;=0.05,1,-1))</f>
        <v>1</v>
      </c>
      <c r="Z15" s="34" t="s">
        <v>129</v>
      </c>
      <c r="AA15" s="76">
        <f>10*LOG10(1+((100+K15*10+L15)*(0.5+J15/20))/((0.1+J15/100)*(6*(5+L15/2)^2)))</f>
        <v>5.5540797010725749</v>
      </c>
      <c r="AB15" s="7">
        <f>IF(Z15="",0,IF(EXACT(RIGHT(Z15,2),"dB"),IF(ABS(VALUE(LEFT(Z15,FIND(" ",Z15,1)))-AA15)&lt;=0.5,1,-1),-1))</f>
        <v>1</v>
      </c>
      <c r="AC15" s="34">
        <v>0.46666666670000001</v>
      </c>
      <c r="AD15" s="35">
        <f>0.3+L15/30+0.1</f>
        <v>0.46666666666666667</v>
      </c>
      <c r="AE15" s="7">
        <f>IF(AC15="",0,IF(ABS(VALUE(AC15)-AD15)&lt;=0.05,1,-1))</f>
        <v>1</v>
      </c>
      <c r="AF15" s="34">
        <v>0.53333333329999999</v>
      </c>
      <c r="AG15" s="35">
        <f>1-AD15</f>
        <v>0.53333333333333333</v>
      </c>
      <c r="AH15" s="7">
        <f>IF(AF15="",0,IF(ABS(VALUE(AF15)-AG15)&lt;=0.05,1,-1))</f>
        <v>1</v>
      </c>
      <c r="AI15" s="34" t="s">
        <v>128</v>
      </c>
      <c r="AJ15" s="76">
        <f>-10*LOG10(1-(0.3+K15/20))</f>
        <v>1.8708664335714442</v>
      </c>
      <c r="AK15" s="7">
        <f>IF(AI15="",0,IF(EXACT(RIGHT(AI15,2),"dB"),IF(ABS(ABS(VALUE(LEFT(AI15,FIND(" ",AI15,1))))-AJ15)&lt;=0.5,1,-1),-1))</f>
        <v>1</v>
      </c>
      <c r="AL15" s="34">
        <v>1.0680000000000001</v>
      </c>
      <c r="AM15" s="35">
        <f>((0.16*(200+K15*10+L15)/(2+K15/10))-0.16*(200+K15*10+L15)/(6+L15/10))/10</f>
        <v>1.0681413210445467</v>
      </c>
      <c r="AN15" s="7">
        <f>IF(AL15="",0,IF(ABS(VALUE(AL15)-AM15)&lt;=0.05,1,-1))</f>
        <v>1</v>
      </c>
      <c r="AO15" s="34" t="s">
        <v>130</v>
      </c>
      <c r="AP15" s="35">
        <f>((0.16*(200+K15*10+L15)/(2+K15/10))-0.16*(200+K15*10+L15)/(6+L15/10))/(10+J15)</f>
        <v>1.0681413210445467</v>
      </c>
      <c r="AQ15" s="7">
        <f>IF(AO15="",0,IF(EXACT(RIGHT(AO15,2),"m2"),IF(ABS(VALUE(LEFT(AO15,FIND(" ",AO15,1)))-AP15)&lt;=0.05,1,-1),-1))</f>
        <v>1</v>
      </c>
      <c r="AR15" s="47">
        <f>M15+P15+S15+V15+Y15+AB15+AE15+AH15+AK15+AN15+AQ15</f>
        <v>9</v>
      </c>
    </row>
    <row r="16" spans="1:48" ht="12.75" x14ac:dyDescent="0.2">
      <c r="A16" s="50">
        <v>14</v>
      </c>
      <c r="B16" s="33">
        <v>41950.766998611107</v>
      </c>
      <c r="C16" s="34" t="s">
        <v>308</v>
      </c>
      <c r="D16" s="34" t="s">
        <v>309</v>
      </c>
      <c r="E16" s="17">
        <v>242665</v>
      </c>
      <c r="F16" s="6">
        <v>1</v>
      </c>
      <c r="G16" s="6">
        <f>INT(E16/100000)</f>
        <v>2</v>
      </c>
      <c r="H16" s="6">
        <f>INT(($E16-100000*G16)/10000)</f>
        <v>4</v>
      </c>
      <c r="I16" s="6">
        <f>INT(($E16-100000*G16-10000*H16)/1000)</f>
        <v>2</v>
      </c>
      <c r="J16" s="6">
        <f>INT(($E16-100000*$G16-10000*$H16-1000*$I16)/100)</f>
        <v>6</v>
      </c>
      <c r="K16" s="6">
        <f>INT(($E16-100000*$G16-10000*$H16-1000*$I16-100*$J16)/10)</f>
        <v>6</v>
      </c>
      <c r="L16" s="6">
        <f>INT(($E16-100000*$G16-10000*$H16-1000*$I16-100*$J16-10*$K16))</f>
        <v>5</v>
      </c>
      <c r="M16" s="7">
        <v>2</v>
      </c>
      <c r="N16" s="18"/>
      <c r="O16" s="76">
        <f>10*LOG10((10^((100+10*LOG10(1/(4*PI()*(3+J16/2)^2)))/10)+10^((100-3+10*LOG10(1/(4*PI()*(3+J16/2)^2)))/10))/10^((100+10*LOG10(4*(1+L16/10)/(0.16*(2000+K16*100))))/10))</f>
        <v>-6.3813542210979914</v>
      </c>
      <c r="P16" s="7">
        <f>IF(N16="",0,IF(EXACT(RIGHT(N16,2),"dB"),IF(ABS(VALUE(LEFT(N16,FIND(" ",N16,1)))-O16)&lt;=0.5,1,-1),-1))</f>
        <v>0</v>
      </c>
      <c r="Q16" s="18"/>
      <c r="R16" s="35">
        <f>(10^((100-3+10*LOG10(1/(4*PI()*(3+J16/2)^2)))/10)*COS((90-(30+L16*6))/180*PI()))/(10^((100+10*LOG10(1/(4*PI()*(3+J16/2)^2)))/10)+10^((100-3+10*LOG10(1/(4*PI()*(3+J16/2)^2)))/10))</f>
        <v>0.28913173963310729</v>
      </c>
      <c r="S16" s="7">
        <f>IF(Q16="",0,IF(ABS(VALUE(Q16)-R16)&lt;=0.05,1,-1))</f>
        <v>0</v>
      </c>
      <c r="T16" s="18"/>
      <c r="U16" s="76">
        <f>10*LOG10(10^((100+10*LOG10(1/(4*PI()*(3+J16/2)^2)))/10)+10^((100-3+10*LOG10(1/(4*PI()*(3+J16/2)^2)))/10)+10^((100+10*LOG10(4*(1+L16/10)/(0.16*(2000+K16*100))))/10))-100+31</f>
        <v>13.489886040876712</v>
      </c>
      <c r="V16" s="7">
        <f>IF(T16="",0,IF(EXACT(RIGHT(T16,2),"dB"),IF(ABS(VALUE(LEFT(T16,FIND(" ",T16,1)))-U16)&lt;=0.5,1,-1),-1))</f>
        <v>0</v>
      </c>
      <c r="W16" s="58">
        <v>0.69499999999999995</v>
      </c>
      <c r="X16" s="35">
        <f>(0.5+L16/20)/(1+10^(-(5+K16)/10))</f>
        <v>0.69480933291181979</v>
      </c>
      <c r="Y16" s="7">
        <f>IF(W16="",0,IF(ABS(VALUE(W16)-X16)&lt;=0.05,1,-1))</f>
        <v>1</v>
      </c>
      <c r="Z16" s="34" t="s">
        <v>311</v>
      </c>
      <c r="AA16" s="76">
        <f>10*LOG10(1+((100+K16*10+L16)*(0.5+J16/20))/((0.1+J16/100)*(6*(5+L16/2)^2)))</f>
        <v>5.3711918439494788</v>
      </c>
      <c r="AB16" s="7">
        <f>IF(Z16="",0,IF(EXACT(RIGHT(Z16,2),"dB"),IF(ABS(VALUE(LEFT(Z16,FIND(" ",Z16,1)))-AA16)&lt;=0.5,1,-1),-1))</f>
        <v>1</v>
      </c>
      <c r="AC16" s="34">
        <v>0.56699999999999995</v>
      </c>
      <c r="AD16" s="35">
        <f>0.3+L16/30+0.1</f>
        <v>0.56666666666666665</v>
      </c>
      <c r="AE16" s="7">
        <f>IF(AC16="",0,IF(ABS(VALUE(AC16)-AD16)&lt;=0.05,1,-1))</f>
        <v>1</v>
      </c>
      <c r="AF16" s="34">
        <v>0.433</v>
      </c>
      <c r="AG16" s="35">
        <f>1-AD16</f>
        <v>0.43333333333333335</v>
      </c>
      <c r="AH16" s="7">
        <f>IF(AF16="",0,IF(ABS(VALUE(AF16)-AG16)&lt;=0.05,1,-1))</f>
        <v>1</v>
      </c>
      <c r="AI16" s="34" t="s">
        <v>310</v>
      </c>
      <c r="AJ16" s="76">
        <f>-10*LOG10(1-(0.3+K16/20))</f>
        <v>3.9794000867203758</v>
      </c>
      <c r="AK16" s="7">
        <f>IF(AI16="",0,IF(EXACT(RIGHT(AI16,2),"dB"),IF(ABS(ABS(VALUE(LEFT(AI16,FIND(" ",AI16,1))))-AJ16)&lt;=0.5,1,-1),-1))</f>
        <v>1</v>
      </c>
      <c r="AL16" s="34">
        <v>0.97799999999999998</v>
      </c>
      <c r="AM16" s="35">
        <f>((0.16*(200+K16*10+L16)/(2+K16/10))-0.16*(200+K16*10+L16)/(6+L16/10))/10</f>
        <v>0.97846153846153838</v>
      </c>
      <c r="AN16" s="7">
        <f>IF(AL16="",0,IF(ABS(VALUE(AL16)-AM16)&lt;=0.05,1,-1))</f>
        <v>1</v>
      </c>
      <c r="AO16" s="34" t="s">
        <v>1029</v>
      </c>
      <c r="AP16" s="35">
        <f>((0.16*(200+K16*10+L16)/(2+K16/10))-0.16*(200+K16*10+L16)/(6+L16/10))/(10+J16)</f>
        <v>0.61153846153846148</v>
      </c>
      <c r="AQ16" s="7">
        <f>IF(AO16="",0,IF(EXACT(RIGHT(AO16,2),"m2"),IF(ABS(VALUE(LEFT(AO16,FIND(" ",AO16,1)))-AP16)&lt;=0.05,1,-1),-1))</f>
        <v>1</v>
      </c>
      <c r="AR16" s="47">
        <f>M16+P16+S16+V16+Y16+AB16+AE16+AH16+AK16+AN16+AQ16</f>
        <v>9</v>
      </c>
    </row>
    <row r="17" spans="1:44" ht="12.75" x14ac:dyDescent="0.2">
      <c r="A17" s="50">
        <v>15</v>
      </c>
      <c r="B17" s="33">
        <v>41950.767650405091</v>
      </c>
      <c r="C17" s="34" t="s">
        <v>121</v>
      </c>
      <c r="D17" s="34" t="s">
        <v>122</v>
      </c>
      <c r="E17" s="17">
        <v>242317</v>
      </c>
      <c r="F17" s="6">
        <v>1</v>
      </c>
      <c r="G17" s="6">
        <f>INT(E17/100000)</f>
        <v>2</v>
      </c>
      <c r="H17" s="6">
        <f>INT(($E17-100000*G17)/10000)</f>
        <v>4</v>
      </c>
      <c r="I17" s="6">
        <f>INT(($E17-100000*G17-10000*H17)/1000)</f>
        <v>2</v>
      </c>
      <c r="J17" s="6">
        <f>INT(($E17-100000*$G17-10000*$H17-1000*$I17)/100)</f>
        <v>3</v>
      </c>
      <c r="K17" s="6">
        <f>INT(($E17-100000*$G17-10000*$H17-1000*$I17-100*$J17)/10)</f>
        <v>1</v>
      </c>
      <c r="L17" s="6">
        <f>INT(($E17-100000*$G17-10000*$H17-1000*$I17-100*$J17-10*$K17))</f>
        <v>7</v>
      </c>
      <c r="M17" s="7">
        <v>2</v>
      </c>
      <c r="N17" s="18"/>
      <c r="O17" s="76">
        <f>10*LOG10((10^((100+10*LOG10(1/(4*PI()*(3+J17/2)^2)))/10)+10^((100-3+10*LOG10(1/(4*PI()*(3+J17/2)^2)))/10))/10^((100+10*LOG10(4*(1+L17/10)/(0.16*(2000+K17*100))))/10))</f>
        <v>-5.3536966445269076</v>
      </c>
      <c r="P17" s="7">
        <f>IF(N17="",0,IF(EXACT(RIGHT(N17,2),"dB"),IF(ABS(VALUE(LEFT(N17,FIND(" ",N17,1)))-O17)&lt;=0.5,1,-1),-1))</f>
        <v>0</v>
      </c>
      <c r="Q17" s="18"/>
      <c r="R17" s="35">
        <f>(10^((100-3+10*LOG10(1/(4*PI()*(3+J17/2)^2)))/10)*COS((90-(30+L17*6))/180*PI()))/(10^((100+10*LOG10(1/(4*PI()*(3+J17/2)^2)))/10)+10^((100-3+10*LOG10(1/(4*PI()*(3+J17/2)^2)))/10))</f>
        <v>0.31752027578427117</v>
      </c>
      <c r="S17" s="7">
        <f>IF(Q17="",0,IF(ABS(VALUE(Q17)-R17)&lt;=0.05,1,-1))</f>
        <v>0</v>
      </c>
      <c r="T17" s="18"/>
      <c r="U17" s="76">
        <f>10*LOG10(10^((100+10*LOG10(1/(4*PI()*(3+J17/2)^2)))/10)+10^((100-3+10*LOG10(1/(4*PI()*(3+J17/2)^2)))/10)+10^((100+10*LOG10(4*(1+L17/10)/(0.16*(2000+K17*100))))/10))-100+31</f>
        <v>15.17262189730809</v>
      </c>
      <c r="V17" s="7">
        <f>IF(T17="",0,IF(EXACT(RIGHT(T17,2),"dB"),IF(ABS(VALUE(LEFT(T17,FIND(" ",T17,1)))-U17)&lt;=0.5,1,-1),-1))</f>
        <v>0</v>
      </c>
      <c r="W17" s="58">
        <v>0.67935000000000001</v>
      </c>
      <c r="X17" s="35">
        <f>(0.5+L17/20)/(1+10^(-(5+K17)/10))</f>
        <v>0.67935399242386352</v>
      </c>
      <c r="Y17" s="7">
        <f>IF(W17="",0,IF(ABS(VALUE(W17)-X17)&lt;=0.05,1,-1))</f>
        <v>1</v>
      </c>
      <c r="Z17" s="34" t="s">
        <v>124</v>
      </c>
      <c r="AA17" s="76">
        <f>10*LOG10(1+((100+K17*10+L17)*(0.5+J17/20))/((0.1+J17/100)*(6*(5+L17/2)^2)))</f>
        <v>3.7097193152395382</v>
      </c>
      <c r="AB17" s="7">
        <f>IF(Z17="",0,IF(EXACT(RIGHT(Z17,2),"dB"),IF(ABS(VALUE(LEFT(Z17,FIND(" ",Z17,1)))-AA17)&lt;=0.5,1,-1),-1))</f>
        <v>1</v>
      </c>
      <c r="AC17" s="34">
        <v>0.63333329999999999</v>
      </c>
      <c r="AD17" s="35">
        <f>0.3+L17/30+0.1</f>
        <v>0.6333333333333333</v>
      </c>
      <c r="AE17" s="7">
        <f>IF(AC17="",0,IF(ABS(VALUE(AC17)-AD17)&lt;=0.05,1,-1))</f>
        <v>1</v>
      </c>
      <c r="AF17" s="34">
        <v>0.36666660000000001</v>
      </c>
      <c r="AG17" s="35">
        <f>1-AD17</f>
        <v>0.3666666666666667</v>
      </c>
      <c r="AH17" s="7">
        <f>IF(AF17="",0,IF(ABS(VALUE(AF17)-AG17)&lt;=0.05,1,-1))</f>
        <v>1</v>
      </c>
      <c r="AI17" s="34" t="s">
        <v>123</v>
      </c>
      <c r="AJ17" s="76">
        <f>-10*LOG10(1-(0.3+K17/20))</f>
        <v>1.8708664335714442</v>
      </c>
      <c r="AK17" s="7">
        <f>IF(AI17="",0,IF(EXACT(RIGHT(AI17,2),"dB"),IF(ABS(ABS(VALUE(LEFT(AI17,FIND(" ",AI17,1))))-AJ17)&lt;=0.5,1,-1),-1))</f>
        <v>1</v>
      </c>
      <c r="AL17" s="34">
        <v>1.135</v>
      </c>
      <c r="AM17" s="35">
        <f>((0.16*(200+K17*10+L17)/(2+K17/10))-0.16*(200+K17*10+L17)/(6+L17/10))/10</f>
        <v>1.1351243781094527</v>
      </c>
      <c r="AN17" s="7">
        <f>IF(AL17="",0,IF(ABS(VALUE(AL17)-AM17)&lt;=0.05,1,-1))</f>
        <v>1</v>
      </c>
      <c r="AO17" s="34" t="s">
        <v>125</v>
      </c>
      <c r="AP17" s="35">
        <f>((0.16*(200+K17*10+L17)/(2+K17/10))-0.16*(200+K17*10+L17)/(6+L17/10))/(10+J17)</f>
        <v>0.87317259854573281</v>
      </c>
      <c r="AQ17" s="7">
        <f>IF(AO17="",0,IF(EXACT(RIGHT(AO17,2),"m2"),IF(ABS(VALUE(LEFT(AO17,FIND(" ",AO17,1)))-AP17)&lt;=0.05,1,-1),-1))</f>
        <v>1</v>
      </c>
      <c r="AR17" s="47">
        <f>M17+P17+S17+V17+Y17+AB17+AE17+AH17+AK17+AN17+AQ17</f>
        <v>9</v>
      </c>
    </row>
    <row r="18" spans="1:44" ht="12.75" x14ac:dyDescent="0.2">
      <c r="A18" s="50">
        <v>16</v>
      </c>
      <c r="B18" s="33">
        <v>41950.767868402778</v>
      </c>
      <c r="C18" s="34" t="s">
        <v>354</v>
      </c>
      <c r="D18" s="34" t="s">
        <v>355</v>
      </c>
      <c r="E18" s="17">
        <v>240116</v>
      </c>
      <c r="F18" s="6">
        <v>1</v>
      </c>
      <c r="G18" s="6">
        <f>INT(E18/100000)</f>
        <v>2</v>
      </c>
      <c r="H18" s="6">
        <f>INT(($E18-100000*G18)/10000)</f>
        <v>4</v>
      </c>
      <c r="I18" s="6">
        <f>INT(($E18-100000*G18-10000*H18)/1000)</f>
        <v>0</v>
      </c>
      <c r="J18" s="6">
        <f>INT(($E18-100000*$G18-10000*$H18-1000*$I18)/100)</f>
        <v>1</v>
      </c>
      <c r="K18" s="6">
        <f>INT(($E18-100000*$G18-10000*$H18-1000*$I18-100*$J18)/10)</f>
        <v>1</v>
      </c>
      <c r="L18" s="6">
        <f>INT(($E18-100000*$G18-10000*$H18-1000*$I18-100*$J18-10*$K18))</f>
        <v>6</v>
      </c>
      <c r="M18" s="7">
        <v>2</v>
      </c>
      <c r="N18" s="18"/>
      <c r="O18" s="76">
        <f>10*LOG10((10^((100+10*LOG10(1/(4*PI()*(3+J18/2)^2)))/10)+10^((100-3+10*LOG10(1/(4*PI()*(3+J18/2)^2)))/10))/10^((100+10*LOG10(4*(1+L18/10)/(0.16*(2000+K18*100))))/10))</f>
        <v>-2.9075178688020404</v>
      </c>
      <c r="P18" s="7">
        <f>IF(N18="",0,IF(EXACT(RIGHT(N18,2),"dB"),IF(ABS(VALUE(LEFT(N18,FIND(" ",N18,1)))-O18)&lt;=0.5,1,-1),-1))</f>
        <v>0</v>
      </c>
      <c r="Q18" s="18"/>
      <c r="R18" s="35">
        <f>(10^((100-3+10*LOG10(1/(4*PI()*(3+J18/2)^2)))/10)*COS((90-(30+L18*6))/180*PI()))/(10^((100+10*LOG10(1/(4*PI()*(3+J18/2)^2)))/10)+10^((100-3+10*LOG10(1/(4*PI()*(3+J18/2)^2)))/10))</f>
        <v>0.30499681215803365</v>
      </c>
      <c r="S18" s="7">
        <f>IF(Q18="",0,IF(ABS(VALUE(Q18)-R18)&lt;=0.05,1,-1))</f>
        <v>0</v>
      </c>
      <c r="T18" s="18"/>
      <c r="U18" s="76">
        <f>10*LOG10(10^((100+10*LOG10(1/(4*PI()*(3+J18/2)^2)))/10)+10^((100-3+10*LOG10(1/(4*PI()*(3+J18/2)^2)))/10)+10^((100+10*LOG10(4*(1+L18/10)/(0.16*(2000+K18*100))))/10))-100+31</f>
        <v>15.593851235278152</v>
      </c>
      <c r="V18" s="7">
        <f>IF(T18="",0,IF(EXACT(RIGHT(T18,2),"dB"),IF(ABS(VALUE(LEFT(T18,FIND(" ",T18,1)))-U18)&lt;=0.5,1,-1),-1))</f>
        <v>0</v>
      </c>
      <c r="W18" s="58">
        <v>0.63939199999999996</v>
      </c>
      <c r="X18" s="35">
        <f>(0.5+L18/20)/(1+10^(-(5+K18)/10))</f>
        <v>0.63939199286951864</v>
      </c>
      <c r="Y18" s="7">
        <f>IF(W18="",0,IF(ABS(VALUE(W18)-X18)&lt;=0.05,1,-1))</f>
        <v>1</v>
      </c>
      <c r="Z18" s="34" t="s">
        <v>357</v>
      </c>
      <c r="AA18" s="76">
        <f>10*LOG10(1+((100+K18*10+L18)*(0.5+J18/20))/((0.1+J18/100)*(6*(5+L18/2)^2)))</f>
        <v>3.9974580953530001</v>
      </c>
      <c r="AB18" s="7">
        <f>IF(Z18="",0,IF(EXACT(RIGHT(Z18,2),"dB"),IF(ABS(VALUE(LEFT(Z18,FIND(" ",Z18,1)))-AA18)&lt;=0.5,1,-1),-1))</f>
        <v>1</v>
      </c>
      <c r="AC18" s="34">
        <v>0.6</v>
      </c>
      <c r="AD18" s="35">
        <f>0.3+L18/30+0.1</f>
        <v>0.6</v>
      </c>
      <c r="AE18" s="7">
        <f>IF(AC18="",0,IF(ABS(VALUE(AC18)-AD18)&lt;=0.05,1,-1))</f>
        <v>1</v>
      </c>
      <c r="AF18" s="34">
        <v>0.4</v>
      </c>
      <c r="AG18" s="35">
        <f>1-AD18</f>
        <v>0.4</v>
      </c>
      <c r="AH18" s="7">
        <f>IF(AF18="",0,IF(ABS(VALUE(AF18)-AG18)&lt;=0.05,1,-1))</f>
        <v>1</v>
      </c>
      <c r="AI18" s="34" t="s">
        <v>356</v>
      </c>
      <c r="AJ18" s="76">
        <f>-10*LOG10(1-(0.3+K18/20))</f>
        <v>1.8708664335714442</v>
      </c>
      <c r="AK18" s="7">
        <f>IF(AI18="",0,IF(EXACT(RIGHT(AI18,2),"dB"),IF(ABS(ABS(VALUE(LEFT(AI18,FIND(" ",AI18,1))))-AJ18)&lt;=0.5,1,-1),-1))</f>
        <v>1</v>
      </c>
      <c r="AL18" s="34">
        <v>1.1220000000000001</v>
      </c>
      <c r="AM18" s="35">
        <f>((0.16*(200+K18*10+L18)/(2+K18/10))-0.16*(200+K18*10+L18)/(6+L18/10))/10</f>
        <v>1.122077922077922</v>
      </c>
      <c r="AN18" s="7">
        <f>IF(AL18="",0,IF(ABS(VALUE(AL18)-AM18)&lt;=0.05,1,-1))</f>
        <v>1</v>
      </c>
      <c r="AO18" s="34" t="s">
        <v>358</v>
      </c>
      <c r="AP18" s="35">
        <f>((0.16*(200+K18*10+L18)/(2+K18/10))-0.16*(200+K18*10+L18)/(6+L18/10))/(10+J18)</f>
        <v>1.0200708382526564</v>
      </c>
      <c r="AQ18" s="7">
        <f>IF(AO18="",0,IF(EXACT(RIGHT(AO18,2),"m2"),IF(ABS(VALUE(LEFT(AO18,FIND(" ",AO18,1)))-AP18)&lt;=0.05,1,-1),-1))</f>
        <v>1</v>
      </c>
      <c r="AR18" s="47">
        <f>M18+P18+S18+V18+Y18+AB18+AE18+AH18+AK18+AN18+AQ18</f>
        <v>9</v>
      </c>
    </row>
    <row r="19" spans="1:44" ht="12.75" x14ac:dyDescent="0.2">
      <c r="A19" s="50">
        <v>17</v>
      </c>
      <c r="B19" s="33">
        <v>41950.76788392361</v>
      </c>
      <c r="C19" s="34" t="s">
        <v>359</v>
      </c>
      <c r="D19" s="34" t="s">
        <v>360</v>
      </c>
      <c r="E19" s="17">
        <v>239316</v>
      </c>
      <c r="F19" s="6">
        <v>1</v>
      </c>
      <c r="G19" s="6">
        <f>INT(E19/100000)</f>
        <v>2</v>
      </c>
      <c r="H19" s="6">
        <f>INT(($E19-100000*G19)/10000)</f>
        <v>3</v>
      </c>
      <c r="I19" s="6">
        <f>INT(($E19-100000*G19-10000*H19)/1000)</f>
        <v>9</v>
      </c>
      <c r="J19" s="6">
        <f>INT(($E19-100000*$G19-10000*$H19-1000*$I19)/100)</f>
        <v>3</v>
      </c>
      <c r="K19" s="6">
        <f>INT(($E19-100000*$G19-10000*$H19-1000*$I19-100*$J19)/10)</f>
        <v>1</v>
      </c>
      <c r="L19" s="6">
        <f>INT(($E19-100000*$G19-10000*$H19-1000*$I19-100*$J19-10*$K19))</f>
        <v>6</v>
      </c>
      <c r="M19" s="7">
        <v>2</v>
      </c>
      <c r="N19" s="18"/>
      <c r="O19" s="76">
        <f>10*LOG10((10^((100+10*LOG10(1/(4*PI()*(3+J19/2)^2)))/10)+10^((100-3+10*LOG10(1/(4*PI()*(3+J19/2)^2)))/10))/10^((100+10*LOG10(4*(1+L19/10)/(0.16*(2000+K19*100))))/10))</f>
        <v>-5.0904072573034052</v>
      </c>
      <c r="P19" s="7">
        <f>IF(N19="",0,IF(EXACT(RIGHT(N19,2),"dB"),IF(ABS(VALUE(LEFT(N19,FIND(" ",N19,1)))-O19)&lt;=0.5,1,-1),-1))</f>
        <v>0</v>
      </c>
      <c r="Q19" s="18"/>
      <c r="R19" s="35">
        <f>(10^((100-3+10*LOG10(1/(4*PI()*(3+J19/2)^2)))/10)*COS((90-(30+L19*6))/180*PI()))/(10^((100+10*LOG10(1/(4*PI()*(3+J19/2)^2)))/10)+10^((100-3+10*LOG10(1/(4*PI()*(3+J19/2)^2)))/10))</f>
        <v>0.3049968121580337</v>
      </c>
      <c r="S19" s="7">
        <f>IF(Q19="",0,IF(ABS(VALUE(Q19)-R19)&lt;=0.05,1,-1))</f>
        <v>0</v>
      </c>
      <c r="T19" s="18"/>
      <c r="U19" s="76">
        <f>10*LOG10(10^((100+10*LOG10(1/(4*PI()*(3+J19/2)^2)))/10)+10^((100-3+10*LOG10(1/(4*PI()*(3+J19/2)^2)))/10)+10^((100+10*LOG10(4*(1+L19/10)/(0.16*(2000+K19*100))))/10))-100+31</f>
        <v>14.970167968663461</v>
      </c>
      <c r="V19" s="7">
        <f>IF(T19="",0,IF(EXACT(RIGHT(T19,2),"dB"),IF(ABS(VALUE(LEFT(T19,FIND(" ",T19,1)))-U19)&lt;=0.5,1,-1),-1))</f>
        <v>0</v>
      </c>
      <c r="W19" s="58">
        <v>0.63939199999999996</v>
      </c>
      <c r="X19" s="35">
        <f>(0.5+L19/20)/(1+10^(-(5+K19)/10))</f>
        <v>0.63939199286951864</v>
      </c>
      <c r="Y19" s="7">
        <f>IF(W19="",0,IF(ABS(VALUE(W19)-X19)&lt;=0.05,1,-1))</f>
        <v>1</v>
      </c>
      <c r="Z19" s="34" t="s">
        <v>362</v>
      </c>
      <c r="AA19" s="76">
        <f>10*LOG10(1+((100+K19*10+L19)*(0.5+J19/20))/((0.1+J19/100)*(6*(5+L19/2)^2)))</f>
        <v>3.9974580953530001</v>
      </c>
      <c r="AB19" s="7">
        <f>IF(Z19="",0,IF(EXACT(RIGHT(Z19,2),"dB"),IF(ABS(VALUE(LEFT(Z19,FIND(" ",Z19,1)))-AA19)&lt;=0.5,1,-1),-1))</f>
        <v>1</v>
      </c>
      <c r="AC19" s="34">
        <v>0.6</v>
      </c>
      <c r="AD19" s="35">
        <f>0.3+L19/30+0.1</f>
        <v>0.6</v>
      </c>
      <c r="AE19" s="7">
        <f>IF(AC19="",0,IF(ABS(VALUE(AC19)-AD19)&lt;=0.05,1,-1))</f>
        <v>1</v>
      </c>
      <c r="AF19" s="34">
        <v>0.4</v>
      </c>
      <c r="AG19" s="35">
        <f>1-AD19</f>
        <v>0.4</v>
      </c>
      <c r="AH19" s="7">
        <f>IF(AF19="",0,IF(ABS(VALUE(AF19)-AG19)&lt;=0.05,1,-1))</f>
        <v>1</v>
      </c>
      <c r="AI19" s="34" t="s">
        <v>361</v>
      </c>
      <c r="AJ19" s="76">
        <f>-10*LOG10(1-(0.3+K19/20))</f>
        <v>1.8708664335714442</v>
      </c>
      <c r="AK19" s="7">
        <f>IF(AI19="",0,IF(EXACT(RIGHT(AI19,2),"dB"),IF(ABS(ABS(VALUE(LEFT(AI19,FIND(" ",AI19,1))))-AJ19)&lt;=0.5,1,-1),-1))</f>
        <v>1</v>
      </c>
      <c r="AL19" s="34">
        <v>1.1220000000000001</v>
      </c>
      <c r="AM19" s="35">
        <f>((0.16*(200+K19*10+L19)/(2+K19/10))-0.16*(200+K19*10+L19)/(6+L19/10))/10</f>
        <v>1.122077922077922</v>
      </c>
      <c r="AN19" s="7">
        <f>IF(AL19="",0,IF(ABS(VALUE(AL19)-AM19)&lt;=0.05,1,-1))</f>
        <v>1</v>
      </c>
      <c r="AO19" s="34" t="s">
        <v>363</v>
      </c>
      <c r="AP19" s="35">
        <f>((0.16*(200+K19*10+L19)/(2+K19/10))-0.16*(200+K19*10+L19)/(6+L19/10))/(10+J19)</f>
        <v>0.86313686313686311</v>
      </c>
      <c r="AQ19" s="7">
        <f>IF(AO19="",0,IF(EXACT(RIGHT(AO19,2),"m2"),IF(ABS(VALUE(LEFT(AO19,FIND(" ",AO19,1)))-AP19)&lt;=0.05,1,-1),-1))</f>
        <v>1</v>
      </c>
      <c r="AR19" s="47">
        <f>M19+P19+S19+V19+Y19+AB19+AE19+AH19+AK19+AN19+AQ19</f>
        <v>9</v>
      </c>
    </row>
    <row r="20" spans="1:44" ht="12.75" x14ac:dyDescent="0.2">
      <c r="A20" s="50">
        <v>18</v>
      </c>
      <c r="B20" s="33">
        <v>41950.768017187504</v>
      </c>
      <c r="C20" s="34" t="s">
        <v>369</v>
      </c>
      <c r="D20" s="34" t="s">
        <v>370</v>
      </c>
      <c r="E20" s="17">
        <v>239475</v>
      </c>
      <c r="F20" s="6">
        <v>1</v>
      </c>
      <c r="G20" s="6">
        <f>INT(E20/100000)</f>
        <v>2</v>
      </c>
      <c r="H20" s="6">
        <f>INT(($E20-100000*G20)/10000)</f>
        <v>3</v>
      </c>
      <c r="I20" s="6">
        <f>INT(($E20-100000*G20-10000*H20)/1000)</f>
        <v>9</v>
      </c>
      <c r="J20" s="6">
        <f>INT(($E20-100000*$G20-10000*$H20-1000*$I20)/100)</f>
        <v>4</v>
      </c>
      <c r="K20" s="6">
        <f>INT(($E20-100000*$G20-10000*$H20-1000*$I20-100*$J20)/10)</f>
        <v>7</v>
      </c>
      <c r="L20" s="6">
        <f>INT(($E20-100000*$G20-10000*$H20-1000*$I20-100*$J20-10*$K20))</f>
        <v>5</v>
      </c>
      <c r="M20" s="7">
        <v>2</v>
      </c>
      <c r="N20" s="18"/>
      <c r="O20" s="76">
        <f>10*LOG10((10^((100+10*LOG10(1/(4*PI()*(3+J20/2)^2)))/10)+10^((100-3+10*LOG10(1/(4*PI()*(3+J20/2)^2)))/10))/10^((100+10*LOG10(4*(1+L20/10)/(0.16*(2000+K20*100))))/10))</f>
        <v>-4.633825138263779</v>
      </c>
      <c r="P20" s="7">
        <f>IF(N20="",0,IF(EXACT(RIGHT(N20,2),"dB"),IF(ABS(VALUE(LEFT(N20,FIND(" ",N20,1)))-O20)&lt;=0.5,1,-1),-1))</f>
        <v>0</v>
      </c>
      <c r="Q20" s="18"/>
      <c r="R20" s="35">
        <f>(10^((100-3+10*LOG10(1/(4*PI()*(3+J20/2)^2)))/10)*COS((90-(30+L20*6))/180*PI()))/(10^((100+10*LOG10(1/(4*PI()*(3+J20/2)^2)))/10)+10^((100-3+10*LOG10(1/(4*PI()*(3+J20/2)^2)))/10))</f>
        <v>0.28913173963310662</v>
      </c>
      <c r="S20" s="7">
        <f>IF(Q20="",0,IF(ABS(VALUE(Q20)-R20)&lt;=0.05,1,-1))</f>
        <v>0</v>
      </c>
      <c r="T20" s="18"/>
      <c r="U20" s="76">
        <f>10*LOG10(10^((100+10*LOG10(1/(4*PI()*(3+J20/2)^2)))/10)+10^((100-3+10*LOG10(1/(4*PI()*(3+J20/2)^2)))/10)+10^((100+10*LOG10(4*(1+L20/10)/(0.16*(2000+K20*100))))/10))-100+31</f>
        <v>13.710818854014377</v>
      </c>
      <c r="V20" s="7">
        <f>IF(T20="",0,IF(EXACT(RIGHT(T20,2),"dB"),IF(ABS(VALUE(LEFT(T20,FIND(" ",T20,1)))-U20)&lt;=0.5,1,-1),-1))</f>
        <v>0</v>
      </c>
      <c r="W20" s="58">
        <v>0.70548679000000003</v>
      </c>
      <c r="X20" s="35">
        <f>(0.5+L20/20)/(1+10^(-(5+K20)/10))</f>
        <v>0.70548679267292425</v>
      </c>
      <c r="Y20" s="7">
        <f>IF(W20="",0,IF(ABS(VALUE(W20)-X20)&lt;=0.05,1,-1))</f>
        <v>1</v>
      </c>
      <c r="Z20" s="36" t="s">
        <v>372</v>
      </c>
      <c r="AA20" s="76">
        <f>10*LOG10(1+((100+K20*10+L20)*(0.5+J20/20))/((0.1+J20/100)*(6*(5+L20/2)^2)))</f>
        <v>5.5540797010725749</v>
      </c>
      <c r="AB20" s="7">
        <f>IF(Z20="",0,IF(EXACT(RIGHT(Z20,2),"dB"),IF(ABS(VALUE(LEFT(Z20,FIND(" ",Z20,1)))-AA20)&lt;=0.5,1,-1),-1))</f>
        <v>1</v>
      </c>
      <c r="AC20" s="34">
        <v>0.56659999999999999</v>
      </c>
      <c r="AD20" s="35">
        <f>0.3+L20/30+0.1</f>
        <v>0.56666666666666665</v>
      </c>
      <c r="AE20" s="7">
        <f>IF(AC20="",0,IF(ABS(VALUE(AC20)-AD20)&lt;=0.05,1,-1))</f>
        <v>1</v>
      </c>
      <c r="AF20" s="34">
        <v>0.43333300000000002</v>
      </c>
      <c r="AG20" s="35">
        <f>1-AD20</f>
        <v>0.43333333333333335</v>
      </c>
      <c r="AH20" s="7">
        <f>IF(AF20="",0,IF(ABS(VALUE(AF20)-AG20)&lt;=0.05,1,-1))</f>
        <v>1</v>
      </c>
      <c r="AI20" s="34" t="s">
        <v>371</v>
      </c>
      <c r="AJ20" s="76">
        <f>-10*LOG10(1-(0.3+K20/20))</f>
        <v>4.5593195564972424</v>
      </c>
      <c r="AK20" s="7">
        <f>IF(AI20="",0,IF(EXACT(RIGHT(AI20,2),"dB"),IF(ABS(ABS(VALUE(LEFT(AI20,FIND(" ",AI20,1))))-AJ20)&lt;=0.5,1,-1),-1))</f>
        <v>1</v>
      </c>
      <c r="AL20" s="34">
        <v>0.91995221000000005</v>
      </c>
      <c r="AM20" s="35">
        <f>((0.16*(200+K20*10+L20)/(2+K20/10))-0.16*(200+K20*10+L20)/(6+L20/10))/10</f>
        <v>0.95270655270655236</v>
      </c>
      <c r="AN20" s="7">
        <f>IF(AL20="",0,IF(ABS(VALUE(AL20)-AM20)&lt;=0.05,1,-1))</f>
        <v>1</v>
      </c>
      <c r="AO20" s="34" t="s">
        <v>373</v>
      </c>
      <c r="AP20" s="35">
        <f>((0.16*(200+K20*10+L20)/(2+K20/10))-0.16*(200+K20*10+L20)/(6+L20/10))/(10+J20)</f>
        <v>0.68050468050468027</v>
      </c>
      <c r="AQ20" s="7">
        <f>IF(AO20="",0,IF(EXACT(RIGHT(AO20,2),"m2"),IF(ABS(VALUE(LEFT(AO20,FIND(" ",AO20,1)))-AP20)&lt;=0.05,1,-1),-1))</f>
        <v>1</v>
      </c>
      <c r="AR20" s="47">
        <f>M20+P20+S20+V20+Y20+AB20+AE20+AH20+AK20+AN20+AQ20</f>
        <v>9</v>
      </c>
    </row>
    <row r="21" spans="1:44" ht="12.75" x14ac:dyDescent="0.2">
      <c r="A21" s="50">
        <v>19</v>
      </c>
      <c r="B21" s="33">
        <v>41950.768294259258</v>
      </c>
      <c r="C21" s="34" t="s">
        <v>388</v>
      </c>
      <c r="D21" s="34" t="s">
        <v>389</v>
      </c>
      <c r="E21" s="17">
        <v>239616</v>
      </c>
      <c r="F21" s="6">
        <v>1</v>
      </c>
      <c r="G21" s="6">
        <f>INT(E21/100000)</f>
        <v>2</v>
      </c>
      <c r="H21" s="6">
        <f>INT(($E21-100000*G21)/10000)</f>
        <v>3</v>
      </c>
      <c r="I21" s="6">
        <f>INT(($E21-100000*G21-10000*H21)/1000)</f>
        <v>9</v>
      </c>
      <c r="J21" s="6">
        <f>INT(($E21-100000*$G21-10000*$H21-1000*$I21)/100)</f>
        <v>6</v>
      </c>
      <c r="K21" s="6">
        <f>INT(($E21-100000*$G21-10000*$H21-1000*$I21-100*$J21)/10)</f>
        <v>1</v>
      </c>
      <c r="L21" s="6">
        <f>INT(($E21-100000*$G21-10000*$H21-1000*$I21-100*$J21-10*$K21))</f>
        <v>6</v>
      </c>
      <c r="M21" s="7">
        <v>2</v>
      </c>
      <c r="N21" s="18"/>
      <c r="O21" s="76">
        <f>10*LOG10((10^((100+10*LOG10(1/(4*PI()*(3+J21/2)^2)))/10)+10^((100-3+10*LOG10(1/(4*PI()*(3+J21/2)^2)))/10))/10^((100+10*LOG10(4*(1+L21/10)/(0.16*(2000+K21*100))))/10))</f>
        <v>-7.5891819894694059</v>
      </c>
      <c r="P21" s="7">
        <f>IF(N21="",0,IF(EXACT(RIGHT(N21,2),"dB"),IF(ABS(VALUE(LEFT(N21,FIND(" ",N21,1)))-O21)&lt;=0.5,1,-1),-1))</f>
        <v>0</v>
      </c>
      <c r="Q21" s="18"/>
      <c r="R21" s="35">
        <f>(10^((100-3+10*LOG10(1/(4*PI()*(3+J21/2)^2)))/10)*COS((90-(30+L21*6))/180*PI()))/(10^((100+10*LOG10(1/(4*PI()*(3+J21/2)^2)))/10)+10^((100-3+10*LOG10(1/(4*PI()*(3+J21/2)^2)))/10))</f>
        <v>0.30499681215803442</v>
      </c>
      <c r="S21" s="7">
        <f>IF(Q21="",0,IF(ABS(VALUE(Q21)-R21)&lt;=0.05,1,-1))</f>
        <v>0</v>
      </c>
      <c r="T21" s="18"/>
      <c r="U21" s="76">
        <f>10*LOG10(10^((100+10*LOG10(1/(4*PI()*(3+J21/2)^2)))/10)+10^((100-3+10*LOG10(1/(4*PI()*(3+J21/2)^2)))/10)+10^((100+10*LOG10(4*(1+L21/10)/(0.16*(2000+K21*100))))/10))-100+31</f>
        <v>14.495877650474171</v>
      </c>
      <c r="V21" s="7">
        <f>IF(T21="",0,IF(EXACT(RIGHT(T21,2),"dB"),IF(ABS(VALUE(LEFT(T21,FIND(" ",T21,1)))-U21)&lt;=0.5,1,-1),-1))</f>
        <v>0</v>
      </c>
      <c r="W21" s="58">
        <v>0.63900000000000001</v>
      </c>
      <c r="X21" s="35">
        <f>(0.5+L21/20)/(1+10^(-(5+K21)/10))</f>
        <v>0.63939199286951864</v>
      </c>
      <c r="Y21" s="7">
        <f>IF(W21="",0,IF(ABS(VALUE(W21)-X21)&lt;=0.05,1,-1))</f>
        <v>1</v>
      </c>
      <c r="Z21" s="36" t="s">
        <v>391</v>
      </c>
      <c r="AA21" s="76">
        <f>10*LOG10(1+((100+K21*10+L21)*(0.5+J21/20))/((0.1+J21/100)*(6*(5+L21/2)^2)))</f>
        <v>3.9974580953530001</v>
      </c>
      <c r="AB21" s="7">
        <f>IF(Z21="",0,IF(EXACT(RIGHT(Z21,2),"dB"),IF(ABS(VALUE(LEFT(Z21,FIND(" ",Z21,1)))-AA21)&lt;=0.5,1,-1),-1))</f>
        <v>1</v>
      </c>
      <c r="AC21" s="34">
        <v>0.6</v>
      </c>
      <c r="AD21" s="35">
        <f>0.3+L21/30+0.1</f>
        <v>0.6</v>
      </c>
      <c r="AE21" s="7">
        <f>IF(AC21="",0,IF(ABS(VALUE(AC21)-AD21)&lt;=0.05,1,-1))</f>
        <v>1</v>
      </c>
      <c r="AF21" s="34">
        <v>0.4</v>
      </c>
      <c r="AG21" s="35">
        <f>1-AD21</f>
        <v>0.4</v>
      </c>
      <c r="AH21" s="7">
        <f>IF(AF21="",0,IF(ABS(VALUE(AF21)-AG21)&lt;=0.05,1,-1))</f>
        <v>1</v>
      </c>
      <c r="AI21" s="36" t="s">
        <v>390</v>
      </c>
      <c r="AJ21" s="76">
        <f>-10*LOG10(1-(0.3+K21/20))</f>
        <v>1.8708664335714442</v>
      </c>
      <c r="AK21" s="7">
        <f>IF(AI21="",0,IF(EXACT(RIGHT(AI21,2),"dB"),IF(ABS(ABS(VALUE(LEFT(AI21,FIND(" ",AI21,1))))-AJ21)&lt;=0.5,1,-1),-1))</f>
        <v>1</v>
      </c>
      <c r="AL21" s="34">
        <v>1.1220000000000001</v>
      </c>
      <c r="AM21" s="35">
        <f>((0.16*(200+K21*10+L21)/(2+K21/10))-0.16*(200+K21*10+L21)/(6+L21/10))/10</f>
        <v>1.122077922077922</v>
      </c>
      <c r="AN21" s="7">
        <f>IF(AL21="",0,IF(ABS(VALUE(AL21)-AM21)&lt;=0.05,1,-1))</f>
        <v>1</v>
      </c>
      <c r="AO21" s="34" t="s">
        <v>392</v>
      </c>
      <c r="AP21" s="35">
        <f>((0.16*(200+K21*10+L21)/(2+K21/10))-0.16*(200+K21*10+L21)/(6+L21/10))/(10+J21)</f>
        <v>0.70129870129870131</v>
      </c>
      <c r="AQ21" s="7">
        <f>IF(AO21="",0,IF(EXACT(RIGHT(AO21,2),"m2"),IF(ABS(VALUE(LEFT(AO21,FIND(" ",AO21,1)))-AP21)&lt;=0.05,1,-1),-1))</f>
        <v>1</v>
      </c>
      <c r="AR21" s="47">
        <f>M21+P21+S21+V21+Y21+AB21+AE21+AH21+AK21+AN21+AQ21</f>
        <v>9</v>
      </c>
    </row>
    <row r="22" spans="1:44" ht="12.75" x14ac:dyDescent="0.2">
      <c r="A22" s="50">
        <v>20</v>
      </c>
      <c r="B22" s="33">
        <v>41950.76844738426</v>
      </c>
      <c r="C22" s="34" t="s">
        <v>398</v>
      </c>
      <c r="D22" s="34" t="s">
        <v>399</v>
      </c>
      <c r="E22" s="17">
        <v>239615</v>
      </c>
      <c r="F22" s="6">
        <v>1</v>
      </c>
      <c r="G22" s="6">
        <f>INT(E22/100000)</f>
        <v>2</v>
      </c>
      <c r="H22" s="6">
        <f>INT(($E22-100000*G22)/10000)</f>
        <v>3</v>
      </c>
      <c r="I22" s="6">
        <f>INT(($E22-100000*G22-10000*H22)/1000)</f>
        <v>9</v>
      </c>
      <c r="J22" s="6">
        <f>INT(($E22-100000*$G22-10000*$H22-1000*$I22)/100)</f>
        <v>6</v>
      </c>
      <c r="K22" s="6">
        <f>INT(($E22-100000*$G22-10000*$H22-1000*$I22-100*$J22)/10)</f>
        <v>1</v>
      </c>
      <c r="L22" s="6">
        <f>INT(($E22-100000*$G22-10000*$H22-1000*$I22-100*$J22-10*$K22))</f>
        <v>5</v>
      </c>
      <c r="M22" s="7">
        <v>2</v>
      </c>
      <c r="N22" s="18"/>
      <c r="O22" s="76">
        <f>10*LOG10((10^((100+10*LOG10(1/(4*PI()*(3+J22/2)^2)))/10)+10^((100-3+10*LOG10(1/(4*PI()*(3+J22/2)^2)))/10))/10^((100+10*LOG10(4*(1+L22/10)/(0.16*(2000+K22*100))))/10))</f>
        <v>-7.308894753466971</v>
      </c>
      <c r="P22" s="7">
        <f>IF(N22="",0,IF(EXACT(RIGHT(N22,2),"dB"),IF(ABS(VALUE(LEFT(N22,FIND(" ",N22,1)))-O22)&lt;=0.5,1,-1),-1))</f>
        <v>0</v>
      </c>
      <c r="Q22" s="18"/>
      <c r="R22" s="35">
        <f>(10^((100-3+10*LOG10(1/(4*PI()*(3+J22/2)^2)))/10)*COS((90-(30+L22*6))/180*PI()))/(10^((100+10*LOG10(1/(4*PI()*(3+J22/2)^2)))/10)+10^((100-3+10*LOG10(1/(4*PI()*(3+J22/2)^2)))/10))</f>
        <v>0.28913173963310729</v>
      </c>
      <c r="S22" s="7">
        <f>IF(Q22="",0,IF(ABS(VALUE(Q22)-R22)&lt;=0.05,1,-1))</f>
        <v>0</v>
      </c>
      <c r="T22" s="18"/>
      <c r="U22" s="76">
        <f>10*LOG10(10^((100+10*LOG10(1/(4*PI()*(3+J22/2)^2)))/10)+10^((100-3+10*LOG10(1/(4*PI()*(3+J22/2)^2)))/10)+10^((100+10*LOG10(4*(1+L22/10)/(0.16*(2000+K22*100))))/10))-100+31</f>
        <v>14.258335753394377</v>
      </c>
      <c r="V22" s="7">
        <f>IF(T22="",0,IF(EXACT(RIGHT(T22,2),"dB"),IF(ABS(VALUE(LEFT(T22,FIND(" ",T22,1)))-U22)&lt;=0.5,1,-1),-1))</f>
        <v>0</v>
      </c>
      <c r="W22" s="58">
        <v>0.59942899999999999</v>
      </c>
      <c r="X22" s="35">
        <f>(0.5+L22/20)/(1+10^(-(5+K22)/10))</f>
        <v>0.59942999331517366</v>
      </c>
      <c r="Y22" s="7">
        <f>IF(W22="",0,IF(ABS(VALUE(W22)-X22)&lt;=0.05,1,-1))</f>
        <v>1</v>
      </c>
      <c r="Z22" s="34" t="s">
        <v>401</v>
      </c>
      <c r="AA22" s="76">
        <f>10*LOG10(1+((100+K22*10+L22)*(0.5+J22/20))/((0.1+J22/100)*(6*(5+L22/2)^2)))</f>
        <v>4.3195909596146862</v>
      </c>
      <c r="AB22" s="7">
        <f>IF(Z22="",0,IF(EXACT(RIGHT(Z22,2),"dB"),IF(ABS(VALUE(LEFT(Z22,FIND(" ",Z22,1)))-AA22)&lt;=0.5,1,-1),-1))</f>
        <v>1</v>
      </c>
      <c r="AC22" s="34">
        <v>0.56666000000000005</v>
      </c>
      <c r="AD22" s="35">
        <f>0.3+L22/30+0.1</f>
        <v>0.56666666666666665</v>
      </c>
      <c r="AE22" s="7">
        <f>IF(AC22="",0,IF(ABS(VALUE(AC22)-AD22)&lt;=0.05,1,-1))</f>
        <v>1</v>
      </c>
      <c r="AF22" s="34">
        <v>0.43334</v>
      </c>
      <c r="AG22" s="35">
        <f>1-AD22</f>
        <v>0.43333333333333335</v>
      </c>
      <c r="AH22" s="7">
        <f>IF(AF22="",0,IF(ABS(VALUE(AF22)-AG22)&lt;=0.05,1,-1))</f>
        <v>1</v>
      </c>
      <c r="AI22" s="34" t="s">
        <v>400</v>
      </c>
      <c r="AJ22" s="76">
        <f>-10*LOG10(1-(0.3+K22/20))</f>
        <v>1.8708664335714442</v>
      </c>
      <c r="AK22" s="7">
        <f>IF(AI22="",0,IF(EXACT(RIGHT(AI22,2),"dB"),IF(ABS(ABS(VALUE(LEFT(AI22,FIND(" ",AI22,1))))-AJ22)&lt;=0.5,1,-1),-1))</f>
        <v>1</v>
      </c>
      <c r="AL22" s="34">
        <v>1.1088640000000001</v>
      </c>
      <c r="AM22" s="35">
        <f>((0.16*(200+K22*10+L22)/(2+K22/10))-0.16*(200+K22*10+L22)/(6+L22/10))/10</f>
        <v>1.1088644688644689</v>
      </c>
      <c r="AN22" s="7">
        <f>IF(AL22="",0,IF(ABS(VALUE(AL22)-AM22)&lt;=0.05,1,-1))</f>
        <v>1</v>
      </c>
      <c r="AO22" s="34" t="s">
        <v>402</v>
      </c>
      <c r="AP22" s="35">
        <f>((0.16*(200+K22*10+L22)/(2+K22/10))-0.16*(200+K22*10+L22)/(6+L22/10))/(10+J22)</f>
        <v>0.69304029304029302</v>
      </c>
      <c r="AQ22" s="7">
        <f>IF(AO22="",0,IF(EXACT(RIGHT(AO22,2),"m2"),IF(ABS(VALUE(LEFT(AO22,FIND(" ",AO22,1)))-AP22)&lt;=0.05,1,-1),-1))</f>
        <v>1</v>
      </c>
      <c r="AR22" s="47">
        <f>M22+P22+S22+V22+Y22+AB22+AE22+AH22+AK22+AN22+AQ22</f>
        <v>9</v>
      </c>
    </row>
    <row r="23" spans="1:44" ht="12.75" x14ac:dyDescent="0.2">
      <c r="A23" s="50">
        <v>21</v>
      </c>
      <c r="B23" s="33">
        <v>41950.768506342596</v>
      </c>
      <c r="C23" s="34" t="s">
        <v>425</v>
      </c>
      <c r="D23" s="34" t="s">
        <v>426</v>
      </c>
      <c r="E23" s="17">
        <v>239511</v>
      </c>
      <c r="F23" s="6">
        <v>1</v>
      </c>
      <c r="G23" s="6">
        <f>INT(E23/100000)</f>
        <v>2</v>
      </c>
      <c r="H23" s="6">
        <f>INT(($E23-100000*G23)/10000)</f>
        <v>3</v>
      </c>
      <c r="I23" s="6">
        <f>INT(($E23-100000*G23-10000*H23)/1000)</f>
        <v>9</v>
      </c>
      <c r="J23" s="6">
        <f>INT(($E23-100000*$G23-10000*$H23-1000*$I23)/100)</f>
        <v>5</v>
      </c>
      <c r="K23" s="6">
        <f>INT(($E23-100000*$G23-10000*$H23-1000*$I23-100*$J23)/10)</f>
        <v>1</v>
      </c>
      <c r="L23" s="6">
        <f>INT(($E23-100000*$G23-10000*$H23-1000*$I23-100*$J23-10*$K23))</f>
        <v>1</v>
      </c>
      <c r="M23" s="7">
        <v>2</v>
      </c>
      <c r="N23" s="18"/>
      <c r="O23" s="76">
        <f>10*LOG10((10^((100+10*LOG10(1/(4*PI()*(3+J23/2)^2)))/10)+10^((100-3+10*LOG10(1/(4*PI()*(3+J23/2)^2)))/10))/10^((100+10*LOG10(4*(1+L23/10)/(0.16*(2000+K23*100))))/10))</f>
        <v>-5.2061377967044127</v>
      </c>
      <c r="P23" s="7">
        <f>IF(N23="",0,IF(EXACT(RIGHT(N23,2),"dB"),IF(ABS(VALUE(LEFT(N23,FIND(" ",N23,1)))-O23)&lt;=0.5,1,-1),-1))</f>
        <v>0</v>
      </c>
      <c r="Q23" s="18"/>
      <c r="R23" s="35">
        <f>(10^((100-3+10*LOG10(1/(4*PI()*(3+J23/2)^2)))/10)*COS((90-(30+L23*6))/180*PI()))/(10^((100+10*LOG10(1/(4*PI()*(3+J23/2)^2)))/10)+10^((100-3+10*LOG10(1/(4*PI()*(3+J23/2)^2)))/10))</f>
        <v>0.19623832255191975</v>
      </c>
      <c r="S23" s="7">
        <f>IF(Q23="",0,IF(ABS(VALUE(Q23)-R23)&lt;=0.05,1,-1))</f>
        <v>0</v>
      </c>
      <c r="T23" s="18"/>
      <c r="U23" s="76">
        <f>10*LOG10(10^((100+10*LOG10(1/(4*PI()*(3+J23/2)^2)))/10)+10^((100-3+10*LOG10(1/(4*PI()*(3+J23/2)^2)))/10)+10^((100+10*LOG10(4*(1+L23/10)/(0.16*(2000+K23*100))))/10))-100+31</f>
        <v>13.315804851956813</v>
      </c>
      <c r="V23" s="7">
        <f>IF(T23="",0,IF(EXACT(RIGHT(T23,2),"dB"),IF(ABS(VALUE(LEFT(T23,FIND(" ",T23,1)))-U23)&lt;=0.5,1,-1),-1))</f>
        <v>0</v>
      </c>
      <c r="W23" s="58">
        <v>0.44</v>
      </c>
      <c r="X23" s="35">
        <f>(0.5+L23/20)/(1+10^(-(5+K23)/10))</f>
        <v>0.43958199509779405</v>
      </c>
      <c r="Y23" s="7">
        <f>IF(W23="",0,IF(ABS(VALUE(W23)-X23)&lt;=0.05,1,-1))</f>
        <v>1</v>
      </c>
      <c r="Z23" s="34" t="s">
        <v>428</v>
      </c>
      <c r="AA23" s="76">
        <f>10*LOG10(1+((100+K23*10+L23)*(0.5+J23/20))/((0.1+J23/100)*(6*(5+L23/2)^2)))</f>
        <v>6.0829612180651838</v>
      </c>
      <c r="AB23" s="7">
        <f>IF(Z23="",0,IF(EXACT(RIGHT(Z23,2),"dB"),IF(ABS(VALUE(LEFT(Z23,FIND(" ",Z23,1)))-AA23)&lt;=0.5,1,-1),-1))</f>
        <v>1</v>
      </c>
      <c r="AC23" s="34">
        <v>0.433</v>
      </c>
      <c r="AD23" s="35">
        <f>0.3+L23/30+0.1</f>
        <v>0.43333333333333335</v>
      </c>
      <c r="AE23" s="7">
        <f>IF(AC23="",0,IF(ABS(VALUE(AC23)-AD23)&lt;=0.05,1,-1))</f>
        <v>1</v>
      </c>
      <c r="AF23" s="34">
        <v>0.56699999999999995</v>
      </c>
      <c r="AG23" s="35">
        <f>1-AD23</f>
        <v>0.56666666666666665</v>
      </c>
      <c r="AH23" s="7">
        <f>IF(AF23="",0,IF(ABS(VALUE(AF23)-AG23)&lt;=0.05,1,-1))</f>
        <v>1</v>
      </c>
      <c r="AI23" s="34" t="s">
        <v>427</v>
      </c>
      <c r="AJ23" s="76">
        <f>-10*LOG10(1-(0.3+K23/20))</f>
        <v>1.8708664335714442</v>
      </c>
      <c r="AK23" s="7">
        <f>IF(AI23="",0,IF(EXACT(RIGHT(AI23,2),"dB"),IF(ABS(ABS(VALUE(LEFT(AI23,FIND(" ",AI23,1))))-AJ23)&lt;=0.5,1,-1),-1))</f>
        <v>1</v>
      </c>
      <c r="AL23" s="34">
        <v>1.054</v>
      </c>
      <c r="AM23" s="35">
        <f>((0.16*(200+K23*10+L23)/(2+K23/10))-0.16*(200+K23*10+L23)/(6+L23/10))/10</f>
        <v>1.0541764246682281</v>
      </c>
      <c r="AN23" s="7">
        <f>IF(AL23="",0,IF(ABS(VALUE(AL23)-AM23)&lt;=0.05,1,-1))</f>
        <v>1</v>
      </c>
      <c r="AO23" s="34" t="s">
        <v>225</v>
      </c>
      <c r="AP23" s="35">
        <f>((0.16*(200+K23*10+L23)/(2+K23/10))-0.16*(200+K23*10+L23)/(6+L23/10))/(10+J23)</f>
        <v>0.70278428311215202</v>
      </c>
      <c r="AQ23" s="7">
        <f>IF(AO23="",0,IF(EXACT(RIGHT(AO23,2),"m2"),IF(ABS(VALUE(LEFT(AO23,FIND(" ",AO23,1)))-AP23)&lt;=0.05,1,-1),-1))</f>
        <v>1</v>
      </c>
      <c r="AR23" s="47">
        <f>M23+P23+S23+V23+Y23+AB23+AE23+AH23+AK23+AN23+AQ23</f>
        <v>9</v>
      </c>
    </row>
    <row r="24" spans="1:44" ht="12.75" x14ac:dyDescent="0.2">
      <c r="A24" s="50">
        <v>22</v>
      </c>
      <c r="B24" s="33">
        <v>41950.768594664354</v>
      </c>
      <c r="C24" s="34" t="s">
        <v>435</v>
      </c>
      <c r="D24" s="34" t="s">
        <v>436</v>
      </c>
      <c r="E24" s="17">
        <v>231041</v>
      </c>
      <c r="F24" s="6">
        <v>1</v>
      </c>
      <c r="G24" s="6">
        <f>INT(E24/100000)</f>
        <v>2</v>
      </c>
      <c r="H24" s="6">
        <f>INT(($E24-100000*G24)/10000)</f>
        <v>3</v>
      </c>
      <c r="I24" s="6">
        <f>INT(($E24-100000*G24-10000*H24)/1000)</f>
        <v>1</v>
      </c>
      <c r="J24" s="6">
        <f>INT(($E24-100000*$G24-10000*$H24-1000*$I24)/100)</f>
        <v>0</v>
      </c>
      <c r="K24" s="6">
        <f>INT(($E24-100000*$G24-10000*$H24-1000*$I24-100*$J24)/10)</f>
        <v>4</v>
      </c>
      <c r="L24" s="6">
        <f>INT(($E24-100000*$G24-10000*$H24-1000*$I24-100*$J24-10*$K24))</f>
        <v>1</v>
      </c>
      <c r="M24" s="7">
        <v>2</v>
      </c>
      <c r="N24" s="18"/>
      <c r="O24" s="76">
        <f>10*LOG10((10^((100+10*LOG10(1/(4*PI()*(3+J24/2)^2)))/10)+10^((100-3+10*LOG10(1/(4*PI()*(3+J24/2)^2)))/10))/10^((100+10*LOG10(4*(1+L24/10)/(0.16*(2000+K24*100))))/10))</f>
        <v>0.6386103685640766</v>
      </c>
      <c r="P24" s="7">
        <f>IF(N24="",0,IF(EXACT(RIGHT(N24,2),"dB"),IF(ABS(VALUE(LEFT(N24,FIND(" ",N24,1)))-O24)&lt;=0.5,1,-1),-1))</f>
        <v>0</v>
      </c>
      <c r="Q24" s="18"/>
      <c r="R24" s="35">
        <f>(10^((100-3+10*LOG10(1/(4*PI()*(3+J24/2)^2)))/10)*COS((90-(30+L24*6))/180*PI()))/(10^((100+10*LOG10(1/(4*PI()*(3+J24/2)^2)))/10)+10^((100-3+10*LOG10(1/(4*PI()*(3+J24/2)^2)))/10))</f>
        <v>0.19623832255192022</v>
      </c>
      <c r="S24" s="7">
        <f>IF(Q24="",0,IF(ABS(VALUE(Q24)-R24)&lt;=0.05,1,-1))</f>
        <v>0</v>
      </c>
      <c r="T24" s="18"/>
      <c r="U24" s="76">
        <f>10*LOG10(10^((100+10*LOG10(1/(4*PI()*(3+J24/2)^2)))/10)+10^((100-3+10*LOG10(1/(4*PI()*(3+J24/2)^2)))/10)+10^((100+10*LOG10(4*(1+L24/10)/(0.16*(2000+K24*100))))/10))-100+31</f>
        <v>14.932547197443412</v>
      </c>
      <c r="V24" s="7">
        <f>IF(T24="",0,IF(EXACT(RIGHT(T24,2),"dB"),IF(ABS(VALUE(LEFT(T24,FIND(" ",T24,1)))-U24)&lt;=0.5,1,-1),-1))</f>
        <v>0</v>
      </c>
      <c r="W24" s="58">
        <v>0.48850133000000001</v>
      </c>
      <c r="X24" s="35">
        <f>(0.5+L24/20)/(1+10^(-(5+K24)/10))</f>
        <v>0.48850132662203571</v>
      </c>
      <c r="Y24" s="7">
        <f>IF(W24="",0,IF(ABS(VALUE(W24)-X24)&lt;=0.05,1,-1))</f>
        <v>1</v>
      </c>
      <c r="Z24" s="34" t="s">
        <v>438</v>
      </c>
      <c r="AA24" s="76">
        <f>10*LOG10(1+((100+K24*10+L24)*(0.5+J24/20))/((0.1+J24/100)*(6*(5+L24/2)^2)))</f>
        <v>6.8880211056480523</v>
      </c>
      <c r="AB24" s="7">
        <f>IF(Z24="",0,IF(EXACT(RIGHT(Z24,2),"dB"),IF(ABS(VALUE(LEFT(Z24,FIND(" ",Z24,1)))-AA24)&lt;=0.5,1,-1),-1))</f>
        <v>1</v>
      </c>
      <c r="AC24" s="34">
        <v>0.43333300000000002</v>
      </c>
      <c r="AD24" s="35">
        <f>0.3+L24/30+0.1</f>
        <v>0.43333333333333335</v>
      </c>
      <c r="AE24" s="7">
        <f>IF(AC24="",0,IF(ABS(VALUE(AC24)-AD24)&lt;=0.05,1,-1))</f>
        <v>1</v>
      </c>
      <c r="AF24" s="34">
        <v>0.566666</v>
      </c>
      <c r="AG24" s="35">
        <f>1-AD24</f>
        <v>0.56666666666666665</v>
      </c>
      <c r="AH24" s="7">
        <f>IF(AF24="",0,IF(ABS(VALUE(AF24)-AG24)&lt;=0.05,1,-1))</f>
        <v>1</v>
      </c>
      <c r="AI24" s="34" t="s">
        <v>437</v>
      </c>
      <c r="AJ24" s="76">
        <f>-10*LOG10(1-(0.3+K24/20))</f>
        <v>3.0102999566398121</v>
      </c>
      <c r="AK24" s="7">
        <f>IF(AI24="",0,IF(EXACT(RIGHT(AI24,2),"dB"),IF(ABS(ABS(VALUE(LEFT(AI24,FIND(" ",AI24,1))))-AJ24)&lt;=0.5,1,-1),-1))</f>
        <v>1</v>
      </c>
      <c r="AL24" s="34">
        <v>0.97453551999999999</v>
      </c>
      <c r="AM24" s="35">
        <f>((0.16*(200+K24*10+L24)/(2+K24/10))-0.16*(200+K24*10+L24)/(6+L24/10))/10</f>
        <v>0.97453551912568348</v>
      </c>
      <c r="AN24" s="7">
        <f>IF(AL24="",0,IF(ABS(VALUE(AL24)-AM24)&lt;=0.05,1,-1))</f>
        <v>1</v>
      </c>
      <c r="AO24" s="34" t="s">
        <v>439</v>
      </c>
      <c r="AP24" s="35">
        <f>((0.16*(200+K24*10+L24)/(2+K24/10))-0.16*(200+K24*10+L24)/(6+L24/10))/(10+J24)</f>
        <v>0.97453551912568348</v>
      </c>
      <c r="AQ24" s="7">
        <f>IF(AO24="",0,IF(EXACT(RIGHT(AO24,2),"m2"),IF(ABS(VALUE(LEFT(AO24,FIND(" ",AO24,1)))-AP24)&lt;=0.05,1,-1),-1))</f>
        <v>1</v>
      </c>
      <c r="AR24" s="47">
        <f>M24+P24+S24+V24+Y24+AB24+AE24+AH24+AK24+AN24+AQ24</f>
        <v>9</v>
      </c>
    </row>
    <row r="25" spans="1:44" ht="12.75" x14ac:dyDescent="0.2">
      <c r="A25" s="50">
        <v>23</v>
      </c>
      <c r="B25" s="33">
        <v>41950.768651041668</v>
      </c>
      <c r="C25" s="34" t="s">
        <v>440</v>
      </c>
      <c r="D25" s="34" t="s">
        <v>441</v>
      </c>
      <c r="E25" s="17">
        <v>231121</v>
      </c>
      <c r="F25" s="6">
        <v>1</v>
      </c>
      <c r="G25" s="6">
        <f>INT(E25/100000)</f>
        <v>2</v>
      </c>
      <c r="H25" s="6">
        <f>INT(($E25-100000*G25)/10000)</f>
        <v>3</v>
      </c>
      <c r="I25" s="6">
        <f>INT(($E25-100000*G25-10000*H25)/1000)</f>
        <v>1</v>
      </c>
      <c r="J25" s="6">
        <f>INT(($E25-100000*$G25-10000*$H25-1000*$I25)/100)</f>
        <v>1</v>
      </c>
      <c r="K25" s="6">
        <f>INT(($E25-100000*$G25-10000*$H25-1000*$I25-100*$J25)/10)</f>
        <v>2</v>
      </c>
      <c r="L25" s="6">
        <f>INT(($E25-100000*$G25-10000*$H25-1000*$I25-100*$J25-10*$K25))</f>
        <v>1</v>
      </c>
      <c r="M25" s="7">
        <v>2</v>
      </c>
      <c r="N25" s="18"/>
      <c r="O25" s="76">
        <f>10*LOG10((10^((100+10*LOG10(1/(4*PI()*(3+J25/2)^2)))/10)+10^((100-3+10*LOG10(1/(4*PI()*(3+J25/2)^2)))/10))/10^((100+10*LOG10(4*(1+L25/10)/(0.16*(2000+K25*100))))/10))</f>
        <v>-1.0782110329421777</v>
      </c>
      <c r="P25" s="7">
        <f>IF(N25="",0,IF(EXACT(RIGHT(N25,2),"dB"),IF(ABS(VALUE(LEFT(N25,FIND(" ",N25,1)))-O25)&lt;=0.5,1,-1),-1))</f>
        <v>0</v>
      </c>
      <c r="Q25" s="18"/>
      <c r="R25" s="35">
        <f>(10^((100-3+10*LOG10(1/(4*PI()*(3+J25/2)^2)))/10)*COS((90-(30+L25*6))/180*PI()))/(10^((100+10*LOG10(1/(4*PI()*(3+J25/2)^2)))/10)+10^((100-3+10*LOG10(1/(4*PI()*(3+J25/2)^2)))/10))</f>
        <v>0.19623832255191975</v>
      </c>
      <c r="S25" s="7">
        <f>IF(Q25="",0,IF(ABS(VALUE(Q25)-R25)&lt;=0.05,1,-1))</f>
        <v>0</v>
      </c>
      <c r="T25" s="18"/>
      <c r="U25" s="76">
        <f>10*LOG10(10^((100+10*LOG10(1/(4*PI()*(3+J25/2)^2)))/10)+10^((100-3+10*LOG10(1/(4*PI()*(3+J25/2)^2)))/10)+10^((100+10*LOG10(4*(1+L25/10)/(0.16*(2000+K25*100))))/10))-100+31</f>
        <v>14.473669551577785</v>
      </c>
      <c r="V25" s="7">
        <f>IF(T25="",0,IF(EXACT(RIGHT(T25,2),"dB"),IF(ABS(VALUE(LEFT(T25,FIND(" ",T25,1)))-U25)&lt;=0.5,1,-1),-1))</f>
        <v>0</v>
      </c>
      <c r="W25" s="58">
        <v>0.45851399999999998</v>
      </c>
      <c r="X25" s="35">
        <f>(0.5+L25/20)/(1+10^(-(5+K25)/10))</f>
        <v>0.45851435805089097</v>
      </c>
      <c r="Y25" s="7">
        <f>IF(W25="",0,IF(ABS(VALUE(W25)-X25)&lt;=0.05,1,-1))</f>
        <v>1</v>
      </c>
      <c r="Z25" s="34" t="s">
        <v>443</v>
      </c>
      <c r="AA25" s="76">
        <f>10*LOG10(1+((100+K25*10+L25)*(0.5+J25/20))/((0.1+J25/100)*(6*(5+L25/2)^2)))</f>
        <v>6.3682209758717434</v>
      </c>
      <c r="AB25" s="7">
        <f>IF(Z25="",0,IF(EXACT(RIGHT(Z25,2),"dB"),IF(ABS(VALUE(LEFT(Z25,FIND(" ",Z25,1)))-AA25)&lt;=0.5,1,-1),-1))</f>
        <v>1</v>
      </c>
      <c r="AC25" s="34">
        <v>0.43333300000000002</v>
      </c>
      <c r="AD25" s="35">
        <f>0.3+L25/30+0.1</f>
        <v>0.43333333333333335</v>
      </c>
      <c r="AE25" s="7">
        <f>IF(AC25="",0,IF(ABS(VALUE(AC25)-AD25)&lt;=0.05,1,-1))</f>
        <v>1</v>
      </c>
      <c r="AF25" s="34">
        <v>0.566666</v>
      </c>
      <c r="AG25" s="35">
        <f>1-AD25</f>
        <v>0.56666666666666665</v>
      </c>
      <c r="AH25" s="7">
        <f>IF(AF25="",0,IF(ABS(VALUE(AF25)-AG25)&lt;=0.05,1,-1))</f>
        <v>1</v>
      </c>
      <c r="AI25" s="34" t="s">
        <v>442</v>
      </c>
      <c r="AJ25" s="76">
        <f>-10*LOG10(1-(0.3+K25/20))</f>
        <v>2.2184874961635641</v>
      </c>
      <c r="AK25" s="7">
        <f>IF(AI25="",0,IF(EXACT(RIGHT(AI25,2),"dB"),IF(ABS(ABS(VALUE(LEFT(AI25,FIND(" ",AI25,1))))-AJ25)&lt;=0.5,1,-1),-1))</f>
        <v>1</v>
      </c>
      <c r="AL25" s="34">
        <v>1.0276000000000001</v>
      </c>
      <c r="AM25" s="35">
        <f>((0.16*(200+K25*10+L25)/(2+K25/10))-0.16*(200+K25*10+L25)/(6+L25/10))/10</f>
        <v>1.0276005961251862</v>
      </c>
      <c r="AN25" s="7">
        <f>IF(AL25="",0,IF(ABS(VALUE(AL25)-AM25)&lt;=0.05,1,-1))</f>
        <v>1</v>
      </c>
      <c r="AO25" s="34" t="s">
        <v>444</v>
      </c>
      <c r="AP25" s="35">
        <f>((0.16*(200+K25*10+L25)/(2+K25/10))-0.16*(200+K25*10+L25)/(6+L25/10))/(10+J25)</f>
        <v>0.93418236011380562</v>
      </c>
      <c r="AQ25" s="7">
        <f>IF(AO25="",0,IF(EXACT(RIGHT(AO25,2),"m2"),IF(ABS(VALUE(LEFT(AO25,FIND(" ",AO25,1)))-AP25)&lt;=0.05,1,-1),-1))</f>
        <v>1</v>
      </c>
      <c r="AR25" s="47">
        <f>M25+P25+S25+V25+Y25+AB25+AE25+AH25+AK25+AN25+AQ25</f>
        <v>9</v>
      </c>
    </row>
    <row r="26" spans="1:44" ht="12.75" x14ac:dyDescent="0.2">
      <c r="A26" s="50">
        <v>24</v>
      </c>
      <c r="B26" s="33">
        <v>41950.768774594908</v>
      </c>
      <c r="C26" s="34" t="s">
        <v>450</v>
      </c>
      <c r="D26" s="34" t="s">
        <v>451</v>
      </c>
      <c r="E26" s="17">
        <v>240215</v>
      </c>
      <c r="F26" s="6">
        <v>1</v>
      </c>
      <c r="G26" s="6">
        <f>INT(E26/100000)</f>
        <v>2</v>
      </c>
      <c r="H26" s="6">
        <f>INT(($E26-100000*G26)/10000)</f>
        <v>4</v>
      </c>
      <c r="I26" s="6">
        <f>INT(($E26-100000*G26-10000*H26)/1000)</f>
        <v>0</v>
      </c>
      <c r="J26" s="6">
        <f>INT(($E26-100000*$G26-10000*$H26-1000*$I26)/100)</f>
        <v>2</v>
      </c>
      <c r="K26" s="6">
        <f>INT(($E26-100000*$G26-10000*$H26-1000*$I26-100*$J26)/10)</f>
        <v>1</v>
      </c>
      <c r="L26" s="6">
        <f>INT(($E26-100000*$G26-10000*$H26-1000*$I26-100*$J26-10*$K26))</f>
        <v>5</v>
      </c>
      <c r="M26" s="7">
        <v>2</v>
      </c>
      <c r="N26" s="18"/>
      <c r="O26" s="76">
        <f>10*LOG10((10^((100+10*LOG10(1/(4*PI()*(3+J26/2)^2)))/10)+10^((100-3+10*LOG10(1/(4*PI()*(3+J26/2)^2)))/10))/10^((100+10*LOG10(4*(1+L26/10)/(0.16*(2000+K26*100))))/10))</f>
        <v>-3.7870695723533423</v>
      </c>
      <c r="P26" s="7">
        <f>IF(N26="",0,IF(EXACT(RIGHT(N26,2),"dB"),IF(ABS(VALUE(LEFT(N26,FIND(" ",N26,1)))-O26)&lt;=0.5,1,-1),-1))</f>
        <v>0</v>
      </c>
      <c r="Q26" s="18"/>
      <c r="R26" s="35">
        <f>(10^((100-3+10*LOG10(1/(4*PI()*(3+J26/2)^2)))/10)*COS((90-(30+L26*6))/180*PI()))/(10^((100+10*LOG10(1/(4*PI()*(3+J26/2)^2)))/10)+10^((100-3+10*LOG10(1/(4*PI()*(3+J26/2)^2)))/10))</f>
        <v>0.28913173963310662</v>
      </c>
      <c r="S26" s="7">
        <f>IF(Q26="",0,IF(ABS(VALUE(Q26)-R26)&lt;=0.05,1,-1))</f>
        <v>0</v>
      </c>
      <c r="T26" s="18"/>
      <c r="U26" s="76">
        <f>10*LOG10(10^((100+10*LOG10(1/(4*PI()*(3+J26/2)^2)))/10)+10^((100-3+10*LOG10(1/(4*PI()*(3+J26/2)^2)))/10)+10^((100+10*LOG10(4*(1+L26/10)/(0.16*(2000+K26*100))))/10))-100+31</f>
        <v>15.035226260697897</v>
      </c>
      <c r="V26" s="7">
        <f>IF(T26="",0,IF(EXACT(RIGHT(T26,2),"dB"),IF(ABS(VALUE(LEFT(T26,FIND(" ",T26,1)))-U26)&lt;=0.5,1,-1),-1))</f>
        <v>0</v>
      </c>
      <c r="W26" s="58">
        <v>0.59899999999999998</v>
      </c>
      <c r="X26" s="35">
        <f>(0.5+L26/20)/(1+10^(-(5+K26)/10))</f>
        <v>0.59942999331517366</v>
      </c>
      <c r="Y26" s="7">
        <f>IF(W26="",0,IF(ABS(VALUE(W26)-X26)&lt;=0.05,1,-1))</f>
        <v>1</v>
      </c>
      <c r="Z26" s="34" t="s">
        <v>453</v>
      </c>
      <c r="AA26" s="76">
        <f>10*LOG10(1+((100+K26*10+L26)*(0.5+J26/20))/((0.1+J26/100)*(6*(5+L26/2)^2)))</f>
        <v>4.3195909596146862</v>
      </c>
      <c r="AB26" s="7">
        <f>IF(Z26="",0,IF(EXACT(RIGHT(Z26,2),"dB"),IF(ABS(VALUE(LEFT(Z26,FIND(" ",Z26,1)))-AA26)&lt;=0.5,1,-1),-1))</f>
        <v>1</v>
      </c>
      <c r="AC26" s="34">
        <v>0.56000000000000005</v>
      </c>
      <c r="AD26" s="35">
        <f>0.3+L26/30+0.1</f>
        <v>0.56666666666666665</v>
      </c>
      <c r="AE26" s="7">
        <f>IF(AC26="",0,IF(ABS(VALUE(AC26)-AD26)&lt;=0.05,1,-1))</f>
        <v>1</v>
      </c>
      <c r="AF26" s="34">
        <v>0.43</v>
      </c>
      <c r="AG26" s="35">
        <f>1-AD26</f>
        <v>0.43333333333333335</v>
      </c>
      <c r="AH26" s="7">
        <f>IF(AF26="",0,IF(ABS(VALUE(AF26)-AG26)&lt;=0.05,1,-1))</f>
        <v>1</v>
      </c>
      <c r="AI26" s="36" t="s">
        <v>452</v>
      </c>
      <c r="AJ26" s="76">
        <f>-10*LOG10(1-(0.3+K26/20))</f>
        <v>1.8708664335714442</v>
      </c>
      <c r="AK26" s="7">
        <f>IF(AI26="",0,IF(EXACT(RIGHT(AI26,2),"dB"),IF(ABS(ABS(VALUE(LEFT(AI26,FIND(" ",AI26,1))))-AJ26)&lt;=0.5,1,-1),-1))</f>
        <v>1</v>
      </c>
      <c r="AL26" s="34">
        <v>1.1000000000000001</v>
      </c>
      <c r="AM26" s="35">
        <f>((0.16*(200+K26*10+L26)/(2+K26/10))-0.16*(200+K26*10+L26)/(6+L26/10))/10</f>
        <v>1.1088644688644689</v>
      </c>
      <c r="AN26" s="7">
        <f>IF(AL26="",0,IF(ABS(VALUE(AL26)-AM26)&lt;=0.05,1,-1))</f>
        <v>1</v>
      </c>
      <c r="AO26" s="34" t="s">
        <v>454</v>
      </c>
      <c r="AP26" s="35">
        <f>((0.16*(200+K26*10+L26)/(2+K26/10))-0.16*(200+K26*10+L26)/(6+L26/10))/(10+J26)</f>
        <v>0.92405372405372399</v>
      </c>
      <c r="AQ26" s="7">
        <f>IF(AO26="",0,IF(EXACT(RIGHT(AO26,2),"m2"),IF(ABS(VALUE(LEFT(AO26,FIND(" ",AO26,1)))-AP26)&lt;=0.05,1,-1),-1))</f>
        <v>1</v>
      </c>
      <c r="AR26" s="47">
        <f>M26+P26+S26+V26+Y26+AB26+AE26+AH26+AK26+AN26+AQ26</f>
        <v>9</v>
      </c>
    </row>
    <row r="27" spans="1:44" ht="12.75" x14ac:dyDescent="0.2">
      <c r="A27" s="50">
        <v>25</v>
      </c>
      <c r="B27" s="33">
        <v>41950.768822349535</v>
      </c>
      <c r="C27" s="34" t="s">
        <v>461</v>
      </c>
      <c r="D27" s="34" t="s">
        <v>462</v>
      </c>
      <c r="E27" s="17">
        <v>239564</v>
      </c>
      <c r="F27" s="6">
        <v>1</v>
      </c>
      <c r="G27" s="6">
        <f>INT(E27/100000)</f>
        <v>2</v>
      </c>
      <c r="H27" s="6">
        <f>INT(($E27-100000*G27)/10000)</f>
        <v>3</v>
      </c>
      <c r="I27" s="6">
        <f>INT(($E27-100000*G27-10000*H27)/1000)</f>
        <v>9</v>
      </c>
      <c r="J27" s="6">
        <f>INT(($E27-100000*$G27-10000*$H27-1000*$I27)/100)</f>
        <v>5</v>
      </c>
      <c r="K27" s="6">
        <f>INT(($E27-100000*$G27-10000*$H27-1000*$I27-100*$J27)/10)</f>
        <v>6</v>
      </c>
      <c r="L27" s="6">
        <f>INT(($E27-100000*$G27-10000*$H27-1000*$I27-100*$J27-10*$K27))</f>
        <v>4</v>
      </c>
      <c r="M27" s="7">
        <v>2</v>
      </c>
      <c r="N27" s="18"/>
      <c r="O27" s="76">
        <f>10*LOG10((10^((100+10*LOG10(1/(4*PI()*(3+J27/2)^2)))/10)+10^((100-3+10*LOG10(1/(4*PI()*(3+J27/2)^2)))/10))/10^((100+10*LOG10(4*(1+L27/10)/(0.16*(2000+K27*100))))/10))</f>
        <v>-5.3259507695355568</v>
      </c>
      <c r="P27" s="7">
        <f>IF(N27="",0,IF(EXACT(RIGHT(N27,2),"dB"),IF(ABS(VALUE(LEFT(N27,FIND(" ",N27,1)))-O27)&lt;=0.5,1,-1),-1))</f>
        <v>0</v>
      </c>
      <c r="Q27" s="18"/>
      <c r="R27" s="35">
        <f>(10^((100-3+10*LOG10(1/(4*PI()*(3+J27/2)^2)))/10)*COS((90-(30+L27*6))/180*PI()))/(10^((100+10*LOG10(1/(4*PI()*(3+J27/2)^2)))/10)+10^((100-3+10*LOG10(1/(4*PI()*(3+J27/2)^2)))/10))</f>
        <v>0.2700988792640529</v>
      </c>
      <c r="S27" s="7">
        <f>IF(Q27="",0,IF(ABS(VALUE(Q27)-R27)&lt;=0.05,1,-1))</f>
        <v>0</v>
      </c>
      <c r="T27" s="18"/>
      <c r="U27" s="76">
        <f>10*LOG10(10^((100+10*LOG10(1/(4*PI()*(3+J27/2)^2)))/10)+10^((100-3+10*LOG10(1/(4*PI()*(3+J27/2)^2)))/10)+10^((100+10*LOG10(4*(1+L27/10)/(0.16*(2000+K27*100))))/10))-100+31</f>
        <v>13.408150348892448</v>
      </c>
      <c r="V27" s="7">
        <f>IF(T27="",0,IF(EXACT(RIGHT(T27,2),"dB"),IF(ABS(VALUE(LEFT(T27,FIND(" ",T27,1)))-U27)&lt;=0.5,1,-1),-1))</f>
        <v>0</v>
      </c>
      <c r="W27" s="58">
        <v>0.64800000000000002</v>
      </c>
      <c r="X27" s="35">
        <f>(0.5+L27/20)/(1+10^(-(5+K27)/10))</f>
        <v>0.64848871071769842</v>
      </c>
      <c r="Y27" s="7">
        <f>IF(W27="",0,IF(ABS(VALUE(W27)-X27)&lt;=0.05,1,-1))</f>
        <v>1</v>
      </c>
      <c r="Z27" s="34" t="s">
        <v>464</v>
      </c>
      <c r="AA27" s="76">
        <f>10*LOG10(1+((100+K27*10+L27)*(0.5+J27/20))/((0.1+J27/100)*(6*(5+L27/2)^2)))</f>
        <v>5.785378604255528</v>
      </c>
      <c r="AB27" s="7">
        <f>IF(Z27="",0,IF(EXACT(RIGHT(Z27,2),"dB"),IF(ABS(VALUE(LEFT(Z27,FIND(" ",Z27,1)))-AA27)&lt;=0.5,1,-1),-1))</f>
        <v>1</v>
      </c>
      <c r="AC27" s="34">
        <v>0.53</v>
      </c>
      <c r="AD27" s="35">
        <f>0.3+L27/30+0.1</f>
        <v>0.53333333333333333</v>
      </c>
      <c r="AE27" s="7">
        <f>IF(AC27="",0,IF(ABS(VALUE(AC27)-AD27)&lt;=0.05,1,-1))</f>
        <v>1</v>
      </c>
      <c r="AF27" s="34">
        <v>0.47</v>
      </c>
      <c r="AG27" s="35">
        <f>1-AD27</f>
        <v>0.46666666666666667</v>
      </c>
      <c r="AH27" s="7">
        <f>IF(AF27="",0,IF(ABS(VALUE(AF27)-AG27)&lt;=0.05,1,-1))</f>
        <v>1</v>
      </c>
      <c r="AI27" s="34" t="s">
        <v>463</v>
      </c>
      <c r="AJ27" s="76">
        <f>-10*LOG10(1-(0.3+K27/20))</f>
        <v>3.9794000867203758</v>
      </c>
      <c r="AK27" s="7">
        <f>IF(AI27="",0,IF(EXACT(RIGHT(AI27,2),"dB"),IF(ABS(ABS(VALUE(LEFT(AI27,FIND(" ",AI27,1))))-AJ27)&lt;=0.5,1,-1),-1))</f>
        <v>1</v>
      </c>
      <c r="AL27" s="34">
        <v>0.96499999999999997</v>
      </c>
      <c r="AM27" s="35">
        <f>((0.16*(200+K27*10+L27)/(2+K27/10))-0.16*(200+K27*10+L27)/(6+L27/10))/10</f>
        <v>0.96461538461538454</v>
      </c>
      <c r="AN27" s="7">
        <f>IF(AL27="",0,IF(ABS(VALUE(AL27)-AM27)&lt;=0.05,1,-1))</f>
        <v>1</v>
      </c>
      <c r="AO27" s="34" t="s">
        <v>1032</v>
      </c>
      <c r="AP27" s="35">
        <f>((0.16*(200+K27*10+L27)/(2+K27/10))-0.16*(200+K27*10+L27)/(6+L27/10))/(10+J27)</f>
        <v>0.64307692307692299</v>
      </c>
      <c r="AQ27" s="7">
        <f>IF(AO27="",0,IF(EXACT(RIGHT(AO27,2),"m2"),IF(ABS(VALUE(LEFT(AO27,FIND(" ",AO27,1)))-AP27)&lt;=0.05,1,-1),-1))</f>
        <v>1</v>
      </c>
      <c r="AR27" s="47">
        <f>M27+P27+S27+V27+Y27+AB27+AE27+AH27+AK27+AN27+AQ27</f>
        <v>9</v>
      </c>
    </row>
    <row r="28" spans="1:44" ht="12.75" x14ac:dyDescent="0.2">
      <c r="A28" s="50">
        <v>26</v>
      </c>
      <c r="B28" s="33">
        <v>41950.769083888888</v>
      </c>
      <c r="C28" s="34" t="s">
        <v>523</v>
      </c>
      <c r="D28" s="34" t="s">
        <v>524</v>
      </c>
      <c r="E28" s="17">
        <v>242615</v>
      </c>
      <c r="F28" s="6">
        <v>1</v>
      </c>
      <c r="G28" s="6">
        <f>INT(E28/100000)</f>
        <v>2</v>
      </c>
      <c r="H28" s="6">
        <f>INT(($E28-100000*G28)/10000)</f>
        <v>4</v>
      </c>
      <c r="I28" s="6">
        <f>INT(($E28-100000*G28-10000*H28)/1000)</f>
        <v>2</v>
      </c>
      <c r="J28" s="6">
        <f>INT(($E28-100000*$G28-10000*$H28-1000*$I28)/100)</f>
        <v>6</v>
      </c>
      <c r="K28" s="6">
        <f>INT(($E28-100000*$G28-10000*$H28-1000*$I28-100*$J28)/10)</f>
        <v>1</v>
      </c>
      <c r="L28" s="6">
        <f>INT(($E28-100000*$G28-10000*$H28-1000*$I28-100*$J28-10*$K28))</f>
        <v>5</v>
      </c>
      <c r="M28" s="7">
        <v>2</v>
      </c>
      <c r="N28" s="18"/>
      <c r="O28" s="76">
        <f>10*LOG10((10^((100+10*LOG10(1/(4*PI()*(3+J28/2)^2)))/10)+10^((100-3+10*LOG10(1/(4*PI()*(3+J28/2)^2)))/10))/10^((100+10*LOG10(4*(1+L28/10)/(0.16*(2000+K28*100))))/10))</f>
        <v>-7.308894753466971</v>
      </c>
      <c r="P28" s="7">
        <f>IF(N28="",0,IF(EXACT(RIGHT(N28,2),"dB"),IF(ABS(VALUE(LEFT(N28,FIND(" ",N28,1)))-O28)&lt;=0.5,1,-1),-1))</f>
        <v>0</v>
      </c>
      <c r="Q28" s="18"/>
      <c r="R28" s="35">
        <f>(10^((100-3+10*LOG10(1/(4*PI()*(3+J28/2)^2)))/10)*COS((90-(30+L28*6))/180*PI()))/(10^((100+10*LOG10(1/(4*PI()*(3+J28/2)^2)))/10)+10^((100-3+10*LOG10(1/(4*PI()*(3+J28/2)^2)))/10))</f>
        <v>0.28913173963310729</v>
      </c>
      <c r="S28" s="7">
        <f>IF(Q28="",0,IF(ABS(VALUE(Q28)-R28)&lt;=0.05,1,-1))</f>
        <v>0</v>
      </c>
      <c r="T28" s="18"/>
      <c r="U28" s="76">
        <f>10*LOG10(10^((100+10*LOG10(1/(4*PI()*(3+J28/2)^2)))/10)+10^((100-3+10*LOG10(1/(4*PI()*(3+J28/2)^2)))/10)+10^((100+10*LOG10(4*(1+L28/10)/(0.16*(2000+K28*100))))/10))-100+31</f>
        <v>14.258335753394377</v>
      </c>
      <c r="V28" s="7">
        <f>IF(T28="",0,IF(EXACT(RIGHT(T28,2),"dB"),IF(ABS(VALUE(LEFT(T28,FIND(" ",T28,1)))-U28)&lt;=0.5,1,-1),-1))</f>
        <v>0</v>
      </c>
      <c r="W28" s="58">
        <v>0.59899999999999998</v>
      </c>
      <c r="X28" s="35">
        <f>(0.5+L28/20)/(1+10^(-(5+K28)/10))</f>
        <v>0.59942999331517366</v>
      </c>
      <c r="Y28" s="7">
        <f>IF(W28="",0,IF(ABS(VALUE(W28)-X28)&lt;=0.05,1,-1))</f>
        <v>1</v>
      </c>
      <c r="Z28" s="34" t="s">
        <v>526</v>
      </c>
      <c r="AA28" s="76">
        <f>10*LOG10(1+((100+K28*10+L28)*(0.5+J28/20))/((0.1+J28/100)*(6*(5+L28/2)^2)))</f>
        <v>4.3195909596146862</v>
      </c>
      <c r="AB28" s="7">
        <f>IF(Z28="",0,IF(EXACT(RIGHT(Z28,2),"dB"),IF(ABS(VALUE(LEFT(Z28,FIND(" ",Z28,1)))-AA28)&lt;=0.5,1,-1),-1))</f>
        <v>1</v>
      </c>
      <c r="AC28" s="34">
        <v>0.56699999999999995</v>
      </c>
      <c r="AD28" s="35">
        <f>0.3+L28/30+0.1</f>
        <v>0.56666666666666665</v>
      </c>
      <c r="AE28" s="7">
        <f>IF(AC28="",0,IF(ABS(VALUE(AC28)-AD28)&lt;=0.05,1,-1))</f>
        <v>1</v>
      </c>
      <c r="AF28" s="34">
        <v>0.433</v>
      </c>
      <c r="AG28" s="35">
        <f>1-AD28</f>
        <v>0.43333333333333335</v>
      </c>
      <c r="AH28" s="7">
        <f>IF(AF28="",0,IF(ABS(VALUE(AF28)-AG28)&lt;=0.05,1,-1))</f>
        <v>1</v>
      </c>
      <c r="AI28" s="34" t="s">
        <v>525</v>
      </c>
      <c r="AJ28" s="76">
        <f>-10*LOG10(1-(0.3+K28/20))</f>
        <v>1.8708664335714442</v>
      </c>
      <c r="AK28" s="7">
        <f>IF(AI28="",0,IF(EXACT(RIGHT(AI28,2),"dB"),IF(ABS(ABS(VALUE(LEFT(AI28,FIND(" ",AI28,1))))-AJ28)&lt;=0.5,1,-1),-1))</f>
        <v>1</v>
      </c>
      <c r="AL28" s="34">
        <v>1.109</v>
      </c>
      <c r="AM28" s="35">
        <f>((0.16*(200+K28*10+L28)/(2+K28/10))-0.16*(200+K28*10+L28)/(6+L28/10))/10</f>
        <v>1.1088644688644689</v>
      </c>
      <c r="AN28" s="7">
        <f>IF(AL28="",0,IF(ABS(VALUE(AL28)-AM28)&lt;=0.05,1,-1))</f>
        <v>1</v>
      </c>
      <c r="AO28" s="34" t="s">
        <v>527</v>
      </c>
      <c r="AP28" s="35">
        <f>((0.16*(200+K28*10+L28)/(2+K28/10))-0.16*(200+K28*10+L28)/(6+L28/10))/(10+J28)</f>
        <v>0.69304029304029302</v>
      </c>
      <c r="AQ28" s="7">
        <f>IF(AO28="",0,IF(EXACT(RIGHT(AO28,2),"m2"),IF(ABS(VALUE(LEFT(AO28,FIND(" ",AO28,1)))-AP28)&lt;=0.05,1,-1),-1))</f>
        <v>1</v>
      </c>
      <c r="AR28" s="47">
        <f>M28+P28+S28+V28+Y28+AB28+AE28+AH28+AK28+AN28+AQ28</f>
        <v>9</v>
      </c>
    </row>
    <row r="29" spans="1:44" ht="12.75" x14ac:dyDescent="0.2">
      <c r="A29" s="50">
        <v>27</v>
      </c>
      <c r="B29" s="33">
        <v>41950.771009004631</v>
      </c>
      <c r="C29" s="34" t="s">
        <v>715</v>
      </c>
      <c r="D29" s="34" t="s">
        <v>716</v>
      </c>
      <c r="E29" s="17">
        <v>239163</v>
      </c>
      <c r="F29" s="6">
        <v>1</v>
      </c>
      <c r="G29" s="6">
        <f>INT(E29/100000)</f>
        <v>2</v>
      </c>
      <c r="H29" s="6">
        <f>INT(($E29-100000*G29)/10000)</f>
        <v>3</v>
      </c>
      <c r="I29" s="6">
        <f>INT(($E29-100000*G29-10000*H29)/1000)</f>
        <v>9</v>
      </c>
      <c r="J29" s="6">
        <f>INT(($E29-100000*$G29-10000*$H29-1000*$I29)/100)</f>
        <v>1</v>
      </c>
      <c r="K29" s="6">
        <f>INT(($E29-100000*$G29-10000*$H29-1000*$I29-100*$J29)/10)</f>
        <v>6</v>
      </c>
      <c r="L29" s="6">
        <f>INT(($E29-100000*$G29-10000*$H29-1000*$I29-100*$J29-10*$K29))</f>
        <v>3</v>
      </c>
      <c r="M29" s="7">
        <v>2</v>
      </c>
      <c r="N29" s="18"/>
      <c r="O29" s="76">
        <f>10*LOG10((10^((100+10*LOG10(1/(4*PI()*(3+J29/2)^2)))/10)+10^((100-3+10*LOG10(1/(4*PI()*(3+J29/2)^2)))/10))/10^((100+10*LOG10(4*(1+L29/10)/(0.16*(2000+K29*100))))/10))</f>
        <v>-1.0782110329421777</v>
      </c>
      <c r="P29" s="7">
        <f>IF(N29="",0,IF(EXACT(RIGHT(N29,2),"dB"),IF(ABS(VALUE(LEFT(N29,FIND(" ",N29,1)))-O29)&lt;=0.5,1,-1),-1))</f>
        <v>0</v>
      </c>
      <c r="Q29" s="18"/>
      <c r="R29" s="35">
        <f>(10^((100-3+10*LOG10(1/(4*PI()*(3+J29/2)^2)))/10)*COS((90-(30+L29*6))/180*PI()))/(10^((100+10*LOG10(1/(4*PI()*(3+J29/2)^2)))/10)+10^((100-3+10*LOG10(1/(4*PI()*(3+J29/2)^2)))/10))</f>
        <v>0.24810675905195803</v>
      </c>
      <c r="S29" s="7">
        <f>IF(Q29="",0,IF(ABS(VALUE(Q29)-R29)&lt;=0.05,1,-1))</f>
        <v>0</v>
      </c>
      <c r="T29" s="18"/>
      <c r="U29" s="76">
        <f>10*LOG10(10^((100+10*LOG10(1/(4*PI()*(3+J29/2)^2)))/10)+10^((100-3+10*LOG10(1/(4*PI()*(3+J29/2)^2)))/10)+10^((100+10*LOG10(4*(1+L29/10)/(0.16*(2000+K29*100))))/10))-100+31</f>
        <v>14.473669551577785</v>
      </c>
      <c r="V29" s="7">
        <f>IF(T29="",0,IF(EXACT(RIGHT(T29,2),"dB"),IF(ABS(VALUE(LEFT(T29,FIND(" ",T29,1)))-U29)&lt;=0.5,1,-1),-1))</f>
        <v>0</v>
      </c>
      <c r="W29" s="58">
        <v>0.60199999999999998</v>
      </c>
      <c r="X29" s="35">
        <f>(0.5+L29/20)/(1+10^(-(5+K29)/10))</f>
        <v>0.60216808852357717</v>
      </c>
      <c r="Y29" s="7">
        <f>IF(W29="",0,IF(ABS(VALUE(W29)-X29)&lt;=0.05,1,-1))</f>
        <v>1</v>
      </c>
      <c r="Z29" s="34" t="s">
        <v>718</v>
      </c>
      <c r="AA29" s="76">
        <f>10*LOG10(1+((100+K29*10+L29)*(0.5+J29/20))/((0.1+J29/100)*(6*(5+L29/2)^2)))</f>
        <v>6.2479656283073348</v>
      </c>
      <c r="AB29" s="7">
        <f>IF(Z29="",0,IF(EXACT(RIGHT(Z29,2),"dB"),IF(ABS(VALUE(LEFT(Z29,FIND(" ",Z29,1)))-AA29)&lt;=0.5,1,-1),-1))</f>
        <v>1</v>
      </c>
      <c r="AC29" s="34">
        <v>0.5</v>
      </c>
      <c r="AD29" s="35">
        <f>0.3+L29/30+0.1</f>
        <v>0.5</v>
      </c>
      <c r="AE29" s="7">
        <f>IF(AC29="",0,IF(ABS(VALUE(AC29)-AD29)&lt;=0.05,1,-1))</f>
        <v>1</v>
      </c>
      <c r="AF29" s="34">
        <v>0.5</v>
      </c>
      <c r="AG29" s="35">
        <f>1-AD29</f>
        <v>0.5</v>
      </c>
      <c r="AH29" s="7">
        <f>IF(AF29="",0,IF(ABS(VALUE(AF29)-AG29)&lt;=0.05,1,-1))</f>
        <v>1</v>
      </c>
      <c r="AI29" s="34" t="s">
        <v>717</v>
      </c>
      <c r="AJ29" s="76">
        <f>-10*LOG10(1-(0.3+K29/20))</f>
        <v>3.9794000867203758</v>
      </c>
      <c r="AK29" s="7">
        <f>IF(AI29="",0,IF(EXACT(RIGHT(AI29,2),"dB"),IF(ABS(ABS(VALUE(LEFT(AI29,FIND(" ",AI29,1))))-AJ29)&lt;=0.5,1,-1),-1))</f>
        <v>1</v>
      </c>
      <c r="AL29" s="34">
        <v>0.95099999999999996</v>
      </c>
      <c r="AM29" s="35">
        <f>((0.16*(200+K29*10+L29)/(2+K29/10))-0.16*(200+K29*10+L29)/(6+L29/10))/10</f>
        <v>0.95052503052503035</v>
      </c>
      <c r="AN29" s="7">
        <f>IF(AL29="",0,IF(ABS(VALUE(AL29)-AM29)&lt;=0.05,1,-1))</f>
        <v>1</v>
      </c>
      <c r="AO29" s="34" t="s">
        <v>719</v>
      </c>
      <c r="AP29" s="35">
        <f>((0.16*(200+K29*10+L29)/(2+K29/10))-0.16*(200+K29*10+L29)/(6+L29/10))/(10+J29)</f>
        <v>0.86411366411366397</v>
      </c>
      <c r="AQ29" s="7">
        <f>IF(AO29="",0,IF(EXACT(RIGHT(AO29,2),"m2"),IF(ABS(VALUE(LEFT(AO29,FIND(" ",AO29,1)))-AP29)&lt;=0.05,1,-1),-1))</f>
        <v>1</v>
      </c>
      <c r="AR29" s="47">
        <f>M29+P29+S29+V29+Y29+AB29+AE29+AH29+AK29+AN29+AQ29</f>
        <v>9</v>
      </c>
    </row>
    <row r="30" spans="1:44" ht="12.75" x14ac:dyDescent="0.2">
      <c r="A30" s="50">
        <v>28</v>
      </c>
      <c r="B30" s="33">
        <v>41950.771067870366</v>
      </c>
      <c r="C30" s="34" t="s">
        <v>730</v>
      </c>
      <c r="D30" s="34" t="s">
        <v>731</v>
      </c>
      <c r="E30" s="17">
        <v>239655</v>
      </c>
      <c r="F30" s="6">
        <v>1</v>
      </c>
      <c r="G30" s="6">
        <f>INT(E30/100000)</f>
        <v>2</v>
      </c>
      <c r="H30" s="6">
        <f>INT(($E30-100000*G30)/10000)</f>
        <v>3</v>
      </c>
      <c r="I30" s="6">
        <f>INT(($E30-100000*G30-10000*H30)/1000)</f>
        <v>9</v>
      </c>
      <c r="J30" s="6">
        <f>INT(($E30-100000*$G30-10000*$H30-1000*$I30)/100)</f>
        <v>6</v>
      </c>
      <c r="K30" s="6">
        <f>INT(($E30-100000*$G30-10000*$H30-1000*$I30-100*$J30)/10)</f>
        <v>5</v>
      </c>
      <c r="L30" s="6">
        <f>INT(($E30-100000*$G30-10000*$H30-1000*$I30-100*$J30-10*$K30))</f>
        <v>5</v>
      </c>
      <c r="M30" s="7">
        <v>2</v>
      </c>
      <c r="N30" s="18"/>
      <c r="O30" s="76">
        <f>10*LOG10((10^((100+10*LOG10(1/(4*PI()*(3+J30/2)^2)))/10)+10^((100-3+10*LOG10(1/(4*PI()*(3+J30/2)^2)))/10))/10^((100+10*LOG10(4*(1+L30/10)/(0.16*(2000+K30*100))))/10))</f>
        <v>-6.5516876140857914</v>
      </c>
      <c r="P30" s="7">
        <f>IF(N30="",0,IF(EXACT(RIGHT(N30,2),"dB"),IF(ABS(VALUE(LEFT(N30,FIND(" ",N30,1)))-O30)&lt;=0.5,1,-1),-1))</f>
        <v>0</v>
      </c>
      <c r="Q30" s="18"/>
      <c r="R30" s="35">
        <f>(10^((100-3+10*LOG10(1/(4*PI()*(3+J30/2)^2)))/10)*COS((90-(30+L30*6))/180*PI()))/(10^((100+10*LOG10(1/(4*PI()*(3+J30/2)^2)))/10)+10^((100-3+10*LOG10(1/(4*PI()*(3+J30/2)^2)))/10))</f>
        <v>0.28913173963310729</v>
      </c>
      <c r="S30" s="7">
        <f>IF(Q30="",0,IF(ABS(VALUE(Q30)-R30)&lt;=0.05,1,-1))</f>
        <v>0</v>
      </c>
      <c r="T30" s="18"/>
      <c r="U30" s="76">
        <f>10*LOG10(10^((100+10*LOG10(1/(4*PI()*(3+J30/2)^2)))/10)+10^((100-3+10*LOG10(1/(4*PI()*(3+J30/2)^2)))/10)+10^((100+10*LOG10(4*(1+L30/10)/(0.16*(2000+K30*100))))/10))-100+31</f>
        <v>13.628864081817994</v>
      </c>
      <c r="V30" s="7">
        <f>IF(T30="",0,IF(EXACT(RIGHT(T30,2),"dB"),IF(ABS(VALUE(LEFT(T30,FIND(" ",T30,1)))-U30)&lt;=0.5,1,-1),-1))</f>
        <v>0</v>
      </c>
      <c r="W30" s="58">
        <v>0.68181800000000004</v>
      </c>
      <c r="X30" s="35">
        <f>(0.5+L30/20)/(1+10^(-(5+K30)/10))</f>
        <v>0.68181818181818177</v>
      </c>
      <c r="Y30" s="7">
        <f>IF(W30="",0,IF(ABS(VALUE(W30)-X30)&lt;=0.05,1,-1))</f>
        <v>1</v>
      </c>
      <c r="Z30" s="34" t="s">
        <v>733</v>
      </c>
      <c r="AA30" s="76">
        <f>10*LOG10(1+((100+K30*10+L30)*(0.5+J30/20))/((0.1+J30/100)*(6*(5+L30/2)^2)))</f>
        <v>5.1802624248592544</v>
      </c>
      <c r="AB30" s="7">
        <f>IF(Z30="",0,IF(EXACT(RIGHT(Z30,2),"dB"),IF(ABS(VALUE(LEFT(Z30,FIND(" ",Z30,1)))-AA30)&lt;=0.5,1,-1),-1))</f>
        <v>1</v>
      </c>
      <c r="AC30" s="34">
        <v>0.56659999999999999</v>
      </c>
      <c r="AD30" s="35">
        <f>0.3+L30/30+0.1</f>
        <v>0.56666666666666665</v>
      </c>
      <c r="AE30" s="7">
        <f>IF(AC30="",0,IF(ABS(VALUE(AC30)-AD30)&lt;=0.05,1,-1))</f>
        <v>1</v>
      </c>
      <c r="AF30" s="34">
        <v>0.43330000000000002</v>
      </c>
      <c r="AG30" s="35">
        <f>1-AD30</f>
        <v>0.43333333333333335</v>
      </c>
      <c r="AH30" s="7">
        <f>IF(AF30="",0,IF(ABS(VALUE(AF30)-AG30)&lt;=0.05,1,-1))</f>
        <v>1</v>
      </c>
      <c r="AI30" s="34" t="s">
        <v>732</v>
      </c>
      <c r="AJ30" s="76">
        <f>-10*LOG10(1-(0.3+K30/20))</f>
        <v>3.467874862246564</v>
      </c>
      <c r="AK30" s="7">
        <f>IF(AI30="",0,IF(EXACT(RIGHT(AI30,2),"dB"),IF(ABS(ABS(VALUE(LEFT(AI30,FIND(" ",AI30,1))))-AJ30)&lt;=0.5,1,-1),-1))</f>
        <v>1</v>
      </c>
      <c r="AL30" s="34">
        <v>1.004</v>
      </c>
      <c r="AM30" s="35">
        <f>((0.16*(200+K30*10+L30)/(2+K30/10))-0.16*(200+K30*10+L30)/(6+L30/10))/10</f>
        <v>1.0043076923076923</v>
      </c>
      <c r="AN30" s="7">
        <f>IF(AL30="",0,IF(ABS(VALUE(AL30)-AM30)&lt;=0.05,1,-1))</f>
        <v>1</v>
      </c>
      <c r="AO30" s="34" t="s">
        <v>734</v>
      </c>
      <c r="AP30" s="35">
        <f>((0.16*(200+K30*10+L30)/(2+K30/10))-0.16*(200+K30*10+L30)/(6+L30/10))/(10+J30)</f>
        <v>0.62769230769230766</v>
      </c>
      <c r="AQ30" s="7">
        <f>IF(AO30="",0,IF(EXACT(RIGHT(AO30,2),"m2"),IF(ABS(VALUE(LEFT(AO30,FIND(" ",AO30,1)))-AP30)&lt;=0.05,1,-1),-1))</f>
        <v>1</v>
      </c>
      <c r="AR30" s="47">
        <f>M30+P30+S30+V30+Y30+AB30+AE30+AH30+AK30+AN30+AQ30</f>
        <v>9</v>
      </c>
    </row>
    <row r="31" spans="1:44" ht="12.75" x14ac:dyDescent="0.2">
      <c r="A31" s="50">
        <v>29</v>
      </c>
      <c r="B31" s="33">
        <v>41950.772666550925</v>
      </c>
      <c r="C31" s="34" t="s">
        <v>812</v>
      </c>
      <c r="D31" s="34" t="s">
        <v>813</v>
      </c>
      <c r="E31" s="17">
        <v>240588</v>
      </c>
      <c r="F31" s="6">
        <v>1</v>
      </c>
      <c r="G31" s="6">
        <f>INT(E31/100000)</f>
        <v>2</v>
      </c>
      <c r="H31" s="6">
        <f>INT(($E31-100000*G31)/10000)</f>
        <v>4</v>
      </c>
      <c r="I31" s="6">
        <f>INT(($E31-100000*G31-10000*H31)/1000)</f>
        <v>0</v>
      </c>
      <c r="J31" s="6">
        <f>INT(($E31-100000*$G31-10000*$H31-1000*$I31)/100)</f>
        <v>5</v>
      </c>
      <c r="K31" s="6">
        <f>INT(($E31-100000*$G31-10000*$H31-1000*$I31-100*$J31)/10)</f>
        <v>8</v>
      </c>
      <c r="L31" s="6">
        <f>INT(($E31-100000*$G31-10000*$H31-1000*$I31-100*$J31-10*$K31))</f>
        <v>8</v>
      </c>
      <c r="M31" s="7">
        <v>2</v>
      </c>
      <c r="N31" s="18"/>
      <c r="O31" s="76">
        <f>10*LOG10((10^((100+10*LOG10(1/(4*PI()*(3+J31/2)^2)))/10)+10^((100-3+10*LOG10(1/(4*PI()*(3+J31/2)^2)))/10))/10^((100+10*LOG10(4*(1+L31/10)/(0.16*(2000+K31*100))))/10))</f>
        <v>-6.0955486300722237</v>
      </c>
      <c r="P31" s="7">
        <f>IF(N31="",0,IF(EXACT(RIGHT(N31,2),"dB"),IF(ABS(VALUE(LEFT(N31,FIND(" ",N31,1)))-O31)&lt;=0.5,1,-1),-1))</f>
        <v>0</v>
      </c>
      <c r="Q31" s="18"/>
      <c r="R31" s="35">
        <f>(10^((100-3+10*LOG10(1/(4*PI()*(3+J31/2)^2)))/10)*COS((90-(30+L31*6))/180*PI()))/(10^((100+10*LOG10(1/(4*PI()*(3+J31/2)^2)))/10)+10^((100-3+10*LOG10(1/(4*PI()*(3+J31/2)^2)))/10))</f>
        <v>0.32656492082362676</v>
      </c>
      <c r="S31" s="7">
        <f>IF(Q31="",0,IF(ABS(VALUE(Q31)-R31)&lt;=0.05,1,-1))</f>
        <v>0</v>
      </c>
      <c r="T31" s="18"/>
      <c r="U31" s="76">
        <f>10*LOG10(10^((100+10*LOG10(1/(4*PI()*(3+J31/2)^2)))/10)+10^((100-3+10*LOG10(1/(4*PI()*(3+J31/2)^2)))/10)+10^((100+10*LOG10(4*(1+L31/10)/(0.16*(2000+K31*100))))/10))-100+31</f>
        <v>14.01475832869329</v>
      </c>
      <c r="V31" s="7">
        <f>IF(T31="",0,IF(EXACT(RIGHT(T31,2),"dB"),IF(ABS(VALUE(LEFT(T31,FIND(" ",T31,1)))-U31)&lt;=0.5,1,-1),-1))</f>
        <v>0</v>
      </c>
      <c r="W31" s="58">
        <v>0.85699999999999998</v>
      </c>
      <c r="X31" s="35">
        <f>(0.5+L31/20)/(1+10^(-(5+K31)/10))</f>
        <v>0.85704595106921655</v>
      </c>
      <c r="Y31" s="7">
        <f>IF(W31="",0,IF(ABS(VALUE(W31)-X31)&lt;=0.05,1,-1))</f>
        <v>1</v>
      </c>
      <c r="Z31" s="34" t="s">
        <v>815</v>
      </c>
      <c r="AA31" s="76">
        <f>10*LOG10(1+((100+K31*10+L31)*(0.5+J31/20))/((0.1+J31/100)*(6*(5+L31/2)^2)))</f>
        <v>4.6748325625355331</v>
      </c>
      <c r="AB31" s="7">
        <f>IF(Z31="",0,IF(EXACT(RIGHT(Z31,2),"dB"),IF(ABS(VALUE(LEFT(Z31,FIND(" ",Z31,1)))-AA31)&lt;=0.5,1,-1),-1))</f>
        <v>1</v>
      </c>
      <c r="AC31" s="34">
        <v>0.66669999999999996</v>
      </c>
      <c r="AD31" s="35">
        <f>0.3+L31/30+0.1</f>
        <v>0.66666666666666663</v>
      </c>
      <c r="AE31" s="7">
        <f>IF(AC31="",0,IF(ABS(VALUE(AC31)-AD31)&lt;=0.05,1,-1))</f>
        <v>1</v>
      </c>
      <c r="AF31" s="34">
        <v>0.33329999999999999</v>
      </c>
      <c r="AG31" s="35">
        <f>1-AD31</f>
        <v>0.33333333333333337</v>
      </c>
      <c r="AH31" s="7">
        <f>IF(AF31="",0,IF(ABS(VALUE(AF31)-AG31)&lt;=0.05,1,-1))</f>
        <v>1</v>
      </c>
      <c r="AI31" s="34" t="s">
        <v>814</v>
      </c>
      <c r="AJ31" s="76">
        <f>-10*LOG10(1-(0.3+K31/20))</f>
        <v>5.2287874528033749</v>
      </c>
      <c r="AK31" s="7">
        <f>IF(AI31="",0,IF(EXACT(RIGHT(AI31,2),"dB"),IF(ABS(ABS(VALUE(LEFT(AI31,FIND(" ",AI31,1))))-AJ31)&lt;=0.5,1,-1),-1))</f>
        <v>1</v>
      </c>
      <c r="AL31" s="34">
        <v>0.96809999999999996</v>
      </c>
      <c r="AM31" s="35">
        <f>((0.16*(200+K31*10+L31)/(2+K31/10))-0.16*(200+K31*10+L31)/(6+L31/10))/10</f>
        <v>0.96806722689075642</v>
      </c>
      <c r="AN31" s="7">
        <f>IF(AL31="",0,IF(ABS(VALUE(AL31)-AM31)&lt;=0.05,1,-1))</f>
        <v>1</v>
      </c>
      <c r="AO31" s="34" t="s">
        <v>816</v>
      </c>
      <c r="AP31" s="35">
        <f>((0.16*(200+K31*10+L31)/(2+K31/10))-0.16*(200+K31*10+L31)/(6+L31/10))/(10+J31)</f>
        <v>0.64537815126050424</v>
      </c>
      <c r="AQ31" s="7">
        <f>IF(AO31="",0,IF(EXACT(RIGHT(AO31,2),"m2"),IF(ABS(VALUE(LEFT(AO31,FIND(" ",AO31,1)))-AP31)&lt;=0.05,1,-1),-1))</f>
        <v>1</v>
      </c>
      <c r="AR31" s="47">
        <f>M31+P31+S31+V31+Y31+AB31+AE31+AH31+AK31+AN31+AQ31</f>
        <v>9</v>
      </c>
    </row>
    <row r="32" spans="1:44" ht="12.75" x14ac:dyDescent="0.2">
      <c r="A32" s="50">
        <v>30</v>
      </c>
      <c r="B32" s="33">
        <v>41950.772917013892</v>
      </c>
      <c r="C32" s="34" t="s">
        <v>837</v>
      </c>
      <c r="D32" s="34" t="s">
        <v>838</v>
      </c>
      <c r="E32" s="17">
        <v>243653</v>
      </c>
      <c r="F32" s="6">
        <v>1</v>
      </c>
      <c r="G32" s="6">
        <f>INT(E32/100000)</f>
        <v>2</v>
      </c>
      <c r="H32" s="6">
        <f>INT(($E32-100000*G32)/10000)</f>
        <v>4</v>
      </c>
      <c r="I32" s="6">
        <f>INT(($E32-100000*G32-10000*H32)/1000)</f>
        <v>3</v>
      </c>
      <c r="J32" s="6">
        <f>INT(($E32-100000*$G32-10000*$H32-1000*$I32)/100)</f>
        <v>6</v>
      </c>
      <c r="K32" s="6">
        <f>INT(($E32-100000*$G32-10000*$H32-1000*$I32-100*$J32)/10)</f>
        <v>5</v>
      </c>
      <c r="L32" s="6">
        <f>INT(($E32-100000*$G32-10000*$H32-1000*$I32-100*$J32-10*$K32))</f>
        <v>3</v>
      </c>
      <c r="M32" s="7">
        <v>2</v>
      </c>
      <c r="N32" s="18"/>
      <c r="O32" s="76">
        <f>10*LOG10((10^((100+10*LOG10(1/(4*PI()*(3+J32/2)^2)))/10)+10^((100-3+10*LOG10(1/(4*PI()*(3+J32/2)^2)))/10))/10^((100+10*LOG10(4*(1+L32/10)/(0.16*(2000+K32*100))))/10))</f>
        <v>-5.9302085465973589</v>
      </c>
      <c r="P32" s="7">
        <f>IF(N32="",0,IF(EXACT(RIGHT(N32,2),"dB"),IF(ABS(VALUE(LEFT(N32,FIND(" ",N32,1)))-O32)&lt;=0.5,1,-1),-1))</f>
        <v>0</v>
      </c>
      <c r="Q32" s="18"/>
      <c r="R32" s="35">
        <f>(10^((100-3+10*LOG10(1/(4*PI()*(3+J32/2)^2)))/10)*COS((90-(30+L32*6))/180*PI()))/(10^((100+10*LOG10(1/(4*PI()*(3+J32/2)^2)))/10)+10^((100-3+10*LOG10(1/(4*PI()*(3+J32/2)^2)))/10))</f>
        <v>0.24810675905195861</v>
      </c>
      <c r="S32" s="7">
        <f>IF(Q32="",0,IF(ABS(VALUE(Q32)-R32)&lt;=0.05,1,-1))</f>
        <v>0</v>
      </c>
      <c r="T32" s="18"/>
      <c r="U32" s="76">
        <f>10*LOG10(10^((100+10*LOG10(1/(4*PI()*(3+J32/2)^2)))/10)+10^((100-3+10*LOG10(1/(4*PI()*(3+J32/2)^2)))/10)+10^((100+10*LOG10(4*(1+L32/10)/(0.16*(2000+K32*100))))/10))-100+31</f>
        <v>13.126763061205068</v>
      </c>
      <c r="V32" s="7">
        <f>IF(T32="",0,IF(EXACT(RIGHT(T32,2),"dB"),IF(ABS(VALUE(LEFT(T32,FIND(" ",T32,1)))-U32)&lt;=0.5,1,-1),-1))</f>
        <v>0</v>
      </c>
      <c r="W32" s="58">
        <v>0.59089999999999998</v>
      </c>
      <c r="X32" s="35">
        <f>(0.5+L32/20)/(1+10^(-(5+K32)/10))</f>
        <v>0.59090909090909083</v>
      </c>
      <c r="Y32" s="7">
        <f>IF(W32="",0,IF(ABS(VALUE(W32)-X32)&lt;=0.05,1,-1))</f>
        <v>1</v>
      </c>
      <c r="Z32" s="36" t="s">
        <v>840</v>
      </c>
      <c r="AA32" s="76">
        <f>10*LOG10(1+((100+K32*10+L32)*(0.5+J32/20))/((0.1+J32/100)*(6*(5+L32/2)^2)))</f>
        <v>6.0398306966682815</v>
      </c>
      <c r="AB32" s="7">
        <f>IF(Z32="",0,IF(EXACT(RIGHT(Z32,2),"dB"),IF(ABS(VALUE(LEFT(Z32,FIND(" ",Z32,1)))-AA32)&lt;=0.5,1,-1),-1))</f>
        <v>1</v>
      </c>
      <c r="AC32" s="34">
        <v>0.5</v>
      </c>
      <c r="AD32" s="35">
        <f>0.3+L32/30+0.1</f>
        <v>0.5</v>
      </c>
      <c r="AE32" s="7">
        <f>IF(AC32="",0,IF(ABS(VALUE(AC32)-AD32)&lt;=0.05,1,-1))</f>
        <v>1</v>
      </c>
      <c r="AF32" s="34">
        <v>0.5</v>
      </c>
      <c r="AG32" s="35">
        <f>1-AD32</f>
        <v>0.5</v>
      </c>
      <c r="AH32" s="7">
        <f>IF(AF32="",0,IF(ABS(VALUE(AF32)-AG32)&lt;=0.05,1,-1))</f>
        <v>1</v>
      </c>
      <c r="AI32" s="36" t="s">
        <v>839</v>
      </c>
      <c r="AJ32" s="76">
        <f>-10*LOG10(1-(0.3+K32/20))</f>
        <v>3.467874862246564</v>
      </c>
      <c r="AK32" s="7">
        <f>IF(AI32="",0,IF(EXACT(RIGHT(AI32,2),"dB"),IF(ABS(ABS(VALUE(LEFT(AI32,FIND(" ",AI32,1))))-AJ32)&lt;=0.5,1,-1),-1))</f>
        <v>1</v>
      </c>
      <c r="AL32" s="34">
        <v>0.97665999999999997</v>
      </c>
      <c r="AM32" s="35">
        <f>((0.16*(200+K32*10+L32)/(2+K32/10))-0.16*(200+K32*10+L32)/(6+L32/10))/10</f>
        <v>0.97666031746031723</v>
      </c>
      <c r="AN32" s="7">
        <f>IF(AL32="",0,IF(ABS(VALUE(AL32)-AM32)&lt;=0.05,1,-1))</f>
        <v>1</v>
      </c>
      <c r="AO32" s="34" t="s">
        <v>841</v>
      </c>
      <c r="AP32" s="35">
        <f>((0.16*(200+K32*10+L32)/(2+K32/10))-0.16*(200+K32*10+L32)/(6+L32/10))/(10+J32)</f>
        <v>0.6104126984126983</v>
      </c>
      <c r="AQ32" s="7">
        <f>IF(AO32="",0,IF(EXACT(RIGHT(AO32,2),"m2"),IF(ABS(VALUE(LEFT(AO32,FIND(" ",AO32,1)))-AP32)&lt;=0.05,1,-1),-1))</f>
        <v>1</v>
      </c>
      <c r="AR32" s="47">
        <f>M32+P32+S32+V32+Y32+AB32+AE32+AH32+AK32+AN32+AQ32</f>
        <v>9</v>
      </c>
    </row>
    <row r="33" spans="1:44" ht="12.75" x14ac:dyDescent="0.2">
      <c r="A33" s="50">
        <v>31</v>
      </c>
      <c r="B33" s="33">
        <v>41950.775043680558</v>
      </c>
      <c r="C33" s="34" t="s">
        <v>889</v>
      </c>
      <c r="D33" s="34" t="s">
        <v>890</v>
      </c>
      <c r="E33" s="17">
        <v>242659</v>
      </c>
      <c r="F33" s="6">
        <v>1</v>
      </c>
      <c r="G33" s="6">
        <f>INT(E33/100000)</f>
        <v>2</v>
      </c>
      <c r="H33" s="6">
        <f>INT(($E33-100000*G33)/10000)</f>
        <v>4</v>
      </c>
      <c r="I33" s="6">
        <f>INT(($E33-100000*G33-10000*H33)/1000)</f>
        <v>2</v>
      </c>
      <c r="J33" s="6">
        <f>INT(($E33-100000*$G33-10000*$H33-1000*$I33)/100)</f>
        <v>6</v>
      </c>
      <c r="K33" s="6">
        <f>INT(($E33-100000*$G33-10000*$H33-1000*$I33-100*$J33)/10)</f>
        <v>5</v>
      </c>
      <c r="L33" s="6">
        <f>INT(($E33-100000*$G33-10000*$H33-1000*$I33-100*$J33-10*$K33))</f>
        <v>9</v>
      </c>
      <c r="M33" s="7">
        <v>2</v>
      </c>
      <c r="N33" s="18"/>
      <c r="O33" s="76">
        <f>10*LOG10((10^((100+10*LOG10(1/(4*PI()*(3+J33/2)^2)))/10)+10^((100-3+10*LOG10(1/(4*PI()*(3+J33/2)^2)))/10))/10^((100+10*LOG10(4*(1+L33/10)/(0.16*(2000+K33*100))))/10))</f>
        <v>-7.5783110330572745</v>
      </c>
      <c r="P33" s="7">
        <f>IF(N33="",0,IF(EXACT(RIGHT(N33,2),"dB"),IF(ABS(VALUE(LEFT(N33,FIND(" ",N33,1)))-O33)&lt;=0.5,1,-1),-1))</f>
        <v>0</v>
      </c>
      <c r="Q33" s="18"/>
      <c r="R33" s="35">
        <f>(10^((100-3+10*LOG10(1/(4*PI()*(3+J33/2)^2)))/10)*COS((90-(30+L33*6))/180*PI()))/(10^((100+10*LOG10(1/(4*PI()*(3+J33/2)^2)))/10)+10^((100-3+10*LOG10(1/(4*PI()*(3+J33/2)^2)))/10))</f>
        <v>0.33203165225233644</v>
      </c>
      <c r="S33" s="7">
        <f>IF(Q33="",0,IF(ABS(VALUE(Q33)-R33)&lt;=0.05,1,-1))</f>
        <v>0</v>
      </c>
      <c r="T33" s="18"/>
      <c r="U33" s="76">
        <f>10*LOG10(10^((100+10*LOG10(1/(4*PI()*(3+J33/2)^2)))/10)+10^((100-3+10*LOG10(1/(4*PI()*(3+J33/2)^2)))/10)+10^((100+10*LOG10(4*(1+L33/10)/(0.16*(2000+K33*100))))/10))-100+31</f>
        <v>14.486621295800006</v>
      </c>
      <c r="V33" s="7">
        <f>IF(T33="",0,IF(EXACT(RIGHT(T33,2),"dB"),IF(ABS(VALUE(LEFT(T33,FIND(" ",T33,1)))-U33)&lt;=0.5,1,-1),-1))</f>
        <v>0</v>
      </c>
      <c r="W33" s="58">
        <v>0.86363999999999996</v>
      </c>
      <c r="X33" s="35">
        <f>(0.5+L33/20)/(1+10^(-(5+K33)/10))</f>
        <v>0.86363636363636354</v>
      </c>
      <c r="Y33" s="7">
        <f>IF(W33="",0,IF(ABS(VALUE(W33)-X33)&lt;=0.05,1,-1))</f>
        <v>1</v>
      </c>
      <c r="Z33" s="34" t="s">
        <v>892</v>
      </c>
      <c r="AA33" s="76">
        <f>10*LOG10(1+((100+K33*10+L33)*(0.5+J33/20))/((0.1+J33/100)*(6*(5+L33/2)^2)))</f>
        <v>3.923705021312168</v>
      </c>
      <c r="AB33" s="7">
        <f>IF(Z33="",0,IF(EXACT(RIGHT(Z33,2),"dB"),IF(ABS(VALUE(LEFT(Z33,FIND(" ",Z33,1)))-AA33)&lt;=0.5,1,-1),-1))</f>
        <v>1</v>
      </c>
      <c r="AC33" s="34">
        <v>0.7</v>
      </c>
      <c r="AD33" s="35">
        <f>0.3+L33/30+0.1</f>
        <v>0.7</v>
      </c>
      <c r="AE33" s="7">
        <f>IF(AC33="",0,IF(ABS(VALUE(AC33)-AD33)&lt;=0.05,1,-1))</f>
        <v>1</v>
      </c>
      <c r="AF33" s="34">
        <v>0.3</v>
      </c>
      <c r="AG33" s="35">
        <f>1-AD33</f>
        <v>0.30000000000000004</v>
      </c>
      <c r="AH33" s="7">
        <f>IF(AF33="",0,IF(ABS(VALUE(AF33)-AG33)&lt;=0.05,1,-1))</f>
        <v>1</v>
      </c>
      <c r="AI33" s="36" t="s">
        <v>891</v>
      </c>
      <c r="AJ33" s="76">
        <f>-10*LOG10(1-(0.3+K33/20))</f>
        <v>3.467874862246564</v>
      </c>
      <c r="AK33" s="7">
        <f>IF(AI33="",0,IF(EXACT(RIGHT(AI33,2),"dB"),IF(ABS(ABS(VALUE(LEFT(AI33,FIND(" ",AI33,1))))-AJ33)&lt;=0.5,1,-1),-1))</f>
        <v>1</v>
      </c>
      <c r="AL33" s="34">
        <v>1.0569999999999999</v>
      </c>
      <c r="AM33" s="35">
        <f>((0.16*(200+K33*10+L33)/(2+K33/10))-0.16*(200+K33*10+L33)/(6+L33/10))/10</f>
        <v>1.0570202898550725</v>
      </c>
      <c r="AN33" s="7">
        <f>IF(AL33="",0,IF(ABS(VALUE(AL33)-AM33)&lt;=0.05,1,-1))</f>
        <v>1</v>
      </c>
      <c r="AO33" s="34" t="s">
        <v>893</v>
      </c>
      <c r="AP33" s="35">
        <f>((0.16*(200+K33*10+L33)/(2+K33/10))-0.16*(200+K33*10+L33)/(6+L33/10))/(10+J33)</f>
        <v>0.66063768115942034</v>
      </c>
      <c r="AQ33" s="7">
        <f>IF(AO33="",0,IF(EXACT(RIGHT(AO33,2),"m2"),IF(ABS(VALUE(LEFT(AO33,FIND(" ",AO33,1)))-AP33)&lt;=0.05,1,-1),-1))</f>
        <v>1</v>
      </c>
      <c r="AR33" s="47">
        <f>M33+P33+S33+V33+Y33+AB33+AE33+AH33+AK33+AN33+AQ33</f>
        <v>9</v>
      </c>
    </row>
    <row r="34" spans="1:44" ht="12.75" x14ac:dyDescent="0.2">
      <c r="A34" s="50">
        <v>32</v>
      </c>
      <c r="B34" s="33">
        <v>41950.768503506944</v>
      </c>
      <c r="C34" s="34" t="s">
        <v>420</v>
      </c>
      <c r="D34" s="34" t="s">
        <v>421</v>
      </c>
      <c r="E34" s="17">
        <v>239478</v>
      </c>
      <c r="F34" s="6">
        <v>1</v>
      </c>
      <c r="G34" s="6">
        <f>INT(E34/100000)</f>
        <v>2</v>
      </c>
      <c r="H34" s="6">
        <f>INT(($E34-100000*G34)/10000)</f>
        <v>3</v>
      </c>
      <c r="I34" s="6">
        <f>INT(($E34-100000*G34-10000*H34)/1000)</f>
        <v>9</v>
      </c>
      <c r="J34" s="6">
        <f>INT(($E34-100000*$G34-10000*$H34-1000*$I34)/100)</f>
        <v>4</v>
      </c>
      <c r="K34" s="6">
        <f>INT(($E34-100000*$G34-10000*$H34-1000*$I34-100*$J34)/10)</f>
        <v>7</v>
      </c>
      <c r="L34" s="6">
        <f>INT(($E34-100000*$G34-10000*$H34-1000*$I34-100*$J34-10*$K34))</f>
        <v>8</v>
      </c>
      <c r="M34" s="7">
        <v>2</v>
      </c>
      <c r="N34" s="18"/>
      <c r="O34" s="76">
        <f>10*LOG10((10^((100+10*LOG10(1/(4*PI()*(3+J34/2)^2)))/10)+10^((100-3+10*LOG10(1/(4*PI()*(3+J34/2)^2)))/10))/10^((100+10*LOG10(4*(1+L34/10)/(0.16*(2000+K34*100))))/10))</f>
        <v>-5.42563759874003</v>
      </c>
      <c r="P34" s="7">
        <f>IF(N34="",0,IF(EXACT(RIGHT(N34,2),"dB"),IF(ABS(VALUE(LEFT(N34,FIND(" ",N34,1)))-O34)&lt;=0.5,1,-1),-1))</f>
        <v>0</v>
      </c>
      <c r="Q34" s="18"/>
      <c r="R34" s="35">
        <f>(10^((100-3+10*LOG10(1/(4*PI()*(3+J34/2)^2)))/10)*COS((90-(30+L34*6))/180*PI()))/(10^((100+10*LOG10(1/(4*PI()*(3+J34/2)^2)))/10)+10^((100-3+10*LOG10(1/(4*PI()*(3+J34/2)^2)))/10))</f>
        <v>0.32656492082362676</v>
      </c>
      <c r="S34" s="7">
        <f>IF(Q34="",0,IF(ABS(VALUE(Q34)-R34)&lt;=0.05,1,-1))</f>
        <v>0</v>
      </c>
      <c r="T34" s="18"/>
      <c r="U34" s="76">
        <f>10*LOG10(10^((100+10*LOG10(1/(4*PI()*(3+J34/2)^2)))/10)+10^((100-3+10*LOG10(1/(4*PI()*(3+J34/2)^2)))/10)+10^((100+10*LOG10(4*(1+L34/10)/(0.16*(2000+K34*100))))/10))-100+31</f>
        <v>14.313279550556288</v>
      </c>
      <c r="V34" s="7">
        <f>IF(T34="",0,IF(EXACT(RIGHT(T34,2),"dB"),IF(ABS(VALUE(LEFT(T34,FIND(" ",T34,1)))-U34)&lt;=0.5,1,-1),-1))</f>
        <v>0</v>
      </c>
      <c r="W34" s="58">
        <v>0.84650000000000003</v>
      </c>
      <c r="X34" s="35">
        <f>(0.5+L34/20)/(1+10^(-(5+K34)/10))</f>
        <v>0.84658415120750907</v>
      </c>
      <c r="Y34" s="7">
        <f>IF(W34="",0,IF(ABS(VALUE(W34)-X34)&lt;=0.05,1,-1))</f>
        <v>1</v>
      </c>
      <c r="Z34" s="34" t="s">
        <v>423</v>
      </c>
      <c r="AA34" s="76">
        <f>10*LOG10(1+((100+K34*10+L34)*(0.5+J34/20))/((0.1+J34/100)*(6*(5+L34/2)^2)))</f>
        <v>4.51982164637199</v>
      </c>
      <c r="AB34" s="7">
        <f>IF(Z34="",0,IF(EXACT(RIGHT(Z34,2),"dB"),IF(ABS(VALUE(LEFT(Z34,FIND(" ",Z34,1)))-AA34)&lt;=0.5,1,-1),-1))</f>
        <v>1</v>
      </c>
      <c r="AC34" s="34">
        <v>0.66700000000000004</v>
      </c>
      <c r="AD34" s="35">
        <f>0.3+L34/30+0.1</f>
        <v>0.66666666666666663</v>
      </c>
      <c r="AE34" s="7">
        <f>IF(AC34="",0,IF(ABS(VALUE(AC34)-AD34)&lt;=0.05,1,-1))</f>
        <v>1</v>
      </c>
      <c r="AF34" s="34">
        <v>0.33</v>
      </c>
      <c r="AG34" s="35">
        <f>1-AD34</f>
        <v>0.33333333333333337</v>
      </c>
      <c r="AH34" s="7">
        <f>IF(AF34="",0,IF(ABS(VALUE(AF34)-AG34)&lt;=0.05,1,-1))</f>
        <v>1</v>
      </c>
      <c r="AI34" s="73" t="s">
        <v>422</v>
      </c>
      <c r="AJ34" s="76">
        <f>-10*LOG10(1-(0.3+K34/20))</f>
        <v>4.5593195564972424</v>
      </c>
      <c r="AK34" s="7">
        <f>IF(AI34="",0,IF(EXACT(RIGHT(AI34,2),"dB"),IF(ABS(ABS(VALUE(LEFT(AI34,FIND(" ",AI34,1))))-AJ34)&lt;=0.5,1,-1),-1))</f>
        <v>1</v>
      </c>
      <c r="AL34" s="34">
        <v>0.99</v>
      </c>
      <c r="AM34" s="35">
        <f>((0.16*(200+K34*10+L34)/(2+K34/10))-0.16*(200+K34*10+L34)/(6+L34/10))/10</f>
        <v>0.99328976034858374</v>
      </c>
      <c r="AN34" s="7">
        <f>IF(AL34="",0,IF(ABS(VALUE(AL34)-AM34)&lt;=0.05,1,-1))</f>
        <v>1</v>
      </c>
      <c r="AO34" s="34" t="s">
        <v>424</v>
      </c>
      <c r="AP34" s="35">
        <f>((0.16*(200+K34*10+L34)/(2+K34/10))-0.16*(200+K34*10+L34)/(6+L34/10))/(10+J34)</f>
        <v>0.70949268596327408</v>
      </c>
      <c r="AQ34" s="7">
        <f>IF(AO34="",0,IF(EXACT(RIGHT(AO34,2),"m2"),IF(ABS(VALUE(LEFT(AO34,FIND(" ",AO34,1)))-AP34)&lt;=0.05,1,-1),-1))</f>
        <v>1</v>
      </c>
      <c r="AR34" s="47">
        <f>M34+P34+S34+V34+Y34+AB34+AE34+AH34+AK34+AN34+AQ34</f>
        <v>9</v>
      </c>
    </row>
    <row r="35" spans="1:44" ht="12.75" x14ac:dyDescent="0.2">
      <c r="A35" s="50">
        <v>33</v>
      </c>
      <c r="B35" s="33">
        <v>41950.770244479172</v>
      </c>
      <c r="C35" s="34" t="s">
        <v>663</v>
      </c>
      <c r="D35" s="34" t="s">
        <v>664</v>
      </c>
      <c r="E35" s="17">
        <v>240285</v>
      </c>
      <c r="F35" s="6">
        <v>1</v>
      </c>
      <c r="G35" s="6">
        <f>INT(E35/100000)</f>
        <v>2</v>
      </c>
      <c r="H35" s="6">
        <f>INT(($E35-100000*G35)/10000)</f>
        <v>4</v>
      </c>
      <c r="I35" s="6">
        <f>INT(($E35-100000*G35-10000*H35)/1000)</f>
        <v>0</v>
      </c>
      <c r="J35" s="6">
        <f>INT(($E35-100000*$G35-10000*$H35-1000*$I35)/100)</f>
        <v>2</v>
      </c>
      <c r="K35" s="6">
        <f>INT(($E35-100000*$G35-10000*$H35-1000*$I35-100*$J35)/10)</f>
        <v>8</v>
      </c>
      <c r="L35" s="6">
        <f>INT(($E35-100000*$G35-10000*$H35-1000*$I35-100*$J35-10*$K35))</f>
        <v>5</v>
      </c>
      <c r="M35" s="7">
        <v>2</v>
      </c>
      <c r="N35" s="18"/>
      <c r="O35" s="76">
        <f>10*LOG10((10^((100+10*LOG10(1/(4*PI()*(3+J35/2)^2)))/10)+10^((100-3+10*LOG10(1/(4*PI()*(3+J35/2)^2)))/10))/10^((100+10*LOG10(4*(1+L35/10)/(0.16*(2000+K35*100))))/10))</f>
        <v>-2.5376822062703468</v>
      </c>
      <c r="P35" s="7">
        <f>IF(N35="",0,IF(EXACT(RIGHT(N35,2),"dB"),IF(ABS(VALUE(LEFT(N35,FIND(" ",N35,1)))-O35)&lt;=0.5,1,-1),-1))</f>
        <v>0</v>
      </c>
      <c r="Q35" s="18"/>
      <c r="R35" s="35">
        <f>(10^((100-3+10*LOG10(1/(4*PI()*(3+J35/2)^2)))/10)*COS((90-(30+L35*6))/180*PI()))/(10^((100+10*LOG10(1/(4*PI()*(3+J35/2)^2)))/10)+10^((100-3+10*LOG10(1/(4*PI()*(3+J35/2)^2)))/10))</f>
        <v>0.28913173963310662</v>
      </c>
      <c r="S35" s="7">
        <f>IF(Q35="",0,IF(ABS(VALUE(Q35)-R35)&lt;=0.05,1,-1))</f>
        <v>0</v>
      </c>
      <c r="T35" s="18"/>
      <c r="U35" s="76">
        <f>10*LOG10(10^((100+10*LOG10(1/(4*PI()*(3+J35/2)^2)))/10)+10^((100-3+10*LOG10(1/(4*PI()*(3+J35/2)^2)))/10)+10^((100+10*LOG10(4*(1+L35/10)/(0.16*(2000+K35*100))))/10))-100+31</f>
        <v>14.192966054162611</v>
      </c>
      <c r="V35" s="7">
        <f>IF(T35="",0,IF(EXACT(RIGHT(T35,2),"dB"),IF(ABS(VALUE(LEFT(T35,FIND(" ",T35,1)))-U35)&lt;=0.5,1,-1),-1))</f>
        <v>0</v>
      </c>
      <c r="W35" s="58">
        <v>0.71419999999999995</v>
      </c>
      <c r="X35" s="35">
        <f>(0.5+L35/20)/(1+10^(-(5+K35)/10))</f>
        <v>0.71420495922434712</v>
      </c>
      <c r="Y35" s="7">
        <f>IF(W35="",0,IF(ABS(VALUE(W35)-X35)&lt;=0.05,1,-1))</f>
        <v>1</v>
      </c>
      <c r="Z35" s="34" t="s">
        <v>666</v>
      </c>
      <c r="AA35" s="76">
        <f>10*LOG10(1+((100+K35*10+L35)*(0.5+J35/20))/((0.1+J35/100)*(6*(5+L35/2)^2)))</f>
        <v>5.7295760962365527</v>
      </c>
      <c r="AB35" s="7">
        <f>IF(Z35="",0,IF(EXACT(RIGHT(Z35,2),"dB"),IF(ABS(VALUE(LEFT(Z35,FIND(" ",Z35,1)))-AA35)&lt;=0.5,1,-1),-1))</f>
        <v>1</v>
      </c>
      <c r="AC35" s="34">
        <v>0.56669999999999998</v>
      </c>
      <c r="AD35" s="35">
        <f>0.3+L35/30+0.1</f>
        <v>0.56666666666666665</v>
      </c>
      <c r="AE35" s="7">
        <f>IF(AC35="",0,IF(ABS(VALUE(AC35)-AD35)&lt;=0.05,1,-1))</f>
        <v>1</v>
      </c>
      <c r="AF35" s="34">
        <v>0.43330000000000002</v>
      </c>
      <c r="AG35" s="35">
        <f>1-AD35</f>
        <v>0.43333333333333335</v>
      </c>
      <c r="AH35" s="7">
        <f>IF(AF35="",0,IF(ABS(VALUE(AF35)-AG35)&lt;=0.05,1,-1))</f>
        <v>1</v>
      </c>
      <c r="AI35" s="73" t="s">
        <v>665</v>
      </c>
      <c r="AJ35" s="76">
        <f>-10*LOG10(1-(0.3+K35/20))</f>
        <v>5.2287874528033749</v>
      </c>
      <c r="AK35" s="7">
        <f>IF(AI35="",0,IF(EXACT(RIGHT(AI35,2),"dB"),IF(ABS(ABS(VALUE(LEFT(AI35,FIND(" ",AI35,1))))-AJ35)&lt;=0.5,1,-1),-1))</f>
        <v>1</v>
      </c>
      <c r="AL35" s="34">
        <v>0.92700000000000005</v>
      </c>
      <c r="AM35" s="35">
        <f>((0.16*(200+K35*10+L35)/(2+K35/10))-0.16*(200+K35*10+L35)/(6+L35/10))/10</f>
        <v>0.92703296703296734</v>
      </c>
      <c r="AN35" s="7">
        <f>IF(AL35="",0,IF(ABS(VALUE(AL35)-AM35)&lt;=0.05,1,-1))</f>
        <v>1</v>
      </c>
      <c r="AO35" s="34" t="s">
        <v>667</v>
      </c>
      <c r="AP35" s="35">
        <f>((0.16*(200+K35*10+L35)/(2+K35/10))-0.16*(200+K35*10+L35)/(6+L35/10))/(10+J35)</f>
        <v>0.77252747252747278</v>
      </c>
      <c r="AQ35" s="7">
        <f>IF(AO35="",0,IF(EXACT(RIGHT(AO35,2),"m2"),IF(ABS(VALUE(LEFT(AO35,FIND(" ",AO35,1)))-AP35)&lt;=0.05,1,-1),-1))</f>
        <v>1</v>
      </c>
      <c r="AR35" s="47">
        <f>M35+P35+S35+V35+Y35+AB35+AE35+AH35+AK35+AN35+AQ35</f>
        <v>9</v>
      </c>
    </row>
    <row r="36" spans="1:44" ht="12.75" x14ac:dyDescent="0.2">
      <c r="A36" s="50">
        <v>34</v>
      </c>
      <c r="B36" s="33">
        <v>41950.77103290509</v>
      </c>
      <c r="C36" s="34" t="s">
        <v>720</v>
      </c>
      <c r="D36" s="34" t="s">
        <v>721</v>
      </c>
      <c r="E36" s="17">
        <v>257194</v>
      </c>
      <c r="F36" s="6">
        <v>1</v>
      </c>
      <c r="G36" s="6">
        <f>INT(E36/100000)</f>
        <v>2</v>
      </c>
      <c r="H36" s="6">
        <f>INT(($E36-100000*G36)/10000)</f>
        <v>5</v>
      </c>
      <c r="I36" s="6">
        <f>INT(($E36-100000*G36-10000*H36)/1000)</f>
        <v>7</v>
      </c>
      <c r="J36" s="6">
        <f>INT(($E36-100000*$G36-10000*$H36-1000*$I36)/100)</f>
        <v>1</v>
      </c>
      <c r="K36" s="6">
        <f>INT(($E36-100000*$G36-10000*$H36-1000*$I36-100*$J36)/10)</f>
        <v>9</v>
      </c>
      <c r="L36" s="6">
        <f>INT(($E36-100000*$G36-10000*$H36-1000*$I36-100*$J36-10*$K36))</f>
        <v>4</v>
      </c>
      <c r="M36" s="7">
        <v>2</v>
      </c>
      <c r="N36" s="34" t="s">
        <v>722</v>
      </c>
      <c r="O36" s="76">
        <f>10*LOG10((10^((100+10*LOG10(1/(4*PI()*(3+J36/2)^2)))/10)+10^((100-3+10*LOG10(1/(4*PI()*(3+J36/2)^2)))/10))/10^((100+10*LOG10(4*(1+L36/10)/(0.16*(2000+K36*100))))/10))</f>
        <v>-0.92581136737479985</v>
      </c>
      <c r="P36" s="7">
        <f>IF(N36="",0,IF(EXACT(RIGHT(N36,2),"dB"),IF(ABS(VALUE(LEFT(N36,FIND(" ",N36,1)))-O36)&lt;=0.5,1,-1),-1))</f>
        <v>1</v>
      </c>
      <c r="Q36" s="34">
        <v>0.27</v>
      </c>
      <c r="R36" s="35">
        <f>(10^((100-3+10*LOG10(1/(4*PI()*(3+J36/2)^2)))/10)*COS((90-(30+L36*6))/180*PI()))/(10^((100+10*LOG10(1/(4*PI()*(3+J36/2)^2)))/10)+10^((100-3+10*LOG10(1/(4*PI()*(3+J36/2)^2)))/10))</f>
        <v>0.2700988792640529</v>
      </c>
      <c r="S36" s="7">
        <f>IF(Q36="",0,IF(ABS(VALUE(Q36)-R36)&lt;=0.05,1,-1))</f>
        <v>1</v>
      </c>
      <c r="T36" s="18"/>
      <c r="U36" s="76">
        <f>10*LOG10(10^((100+10*LOG10(1/(4*PI()*(3+J36/2)^2)))/10)+10^((100-3+10*LOG10(1/(4*PI()*(3+J36/2)^2)))/10)+10^((100+10*LOG10(4*(1+L36/10)/(0.16*(2000+K36*100))))/10))-100+31</f>
        <v>14.388718254884566</v>
      </c>
      <c r="V36" s="7">
        <f>IF(T36="",0,IF(EXACT(RIGHT(T36,2),"dB"),IF(ABS(VALUE(LEFT(T36,FIND(" ",T36,1)))-U36)&lt;=0.5,1,-1),-1))</f>
        <v>0</v>
      </c>
      <c r="W36" s="58">
        <v>0.67300000000000004</v>
      </c>
      <c r="X36" s="35">
        <f>(0.5+L36/20)/(1+10^(-(5+K36)/10))</f>
        <v>0.67319944728242165</v>
      </c>
      <c r="Y36" s="7">
        <f>IF(W36="",0,IF(ABS(VALUE(W36)-X36)&lt;=0.05,1,-1))</f>
        <v>1</v>
      </c>
      <c r="Z36" s="34" t="s">
        <v>724</v>
      </c>
      <c r="AA36" s="76">
        <f>10*LOG10(1+((100+K36*10+L36)*(0.5+J36/20))/((0.1+J36/100)*(6*(5+L36/2)^2)))</f>
        <v>6.3339974353420878</v>
      </c>
      <c r="AB36" s="7">
        <f>IF(Z36="",0,IF(EXACT(RIGHT(Z36,2),"dB"),IF(ABS(VALUE(LEFT(Z36,FIND(" ",Z36,1)))-AA36)&lt;=0.5,1,-1),-1))</f>
        <v>-1</v>
      </c>
      <c r="AC36" s="34">
        <v>0.53333333299999997</v>
      </c>
      <c r="AD36" s="35">
        <f>0.3+L36/30+0.1</f>
        <v>0.53333333333333333</v>
      </c>
      <c r="AE36" s="7">
        <f>IF(AC36="",0,IF(ABS(VALUE(AC36)-AD36)&lt;=0.05,1,-1))</f>
        <v>1</v>
      </c>
      <c r="AF36" s="34">
        <v>0.46666666600000001</v>
      </c>
      <c r="AG36" s="35">
        <f>1-AD36</f>
        <v>0.46666666666666667</v>
      </c>
      <c r="AH36" s="7">
        <f>IF(AF36="",0,IF(ABS(VALUE(AF36)-AG36)&lt;=0.05,1,-1))</f>
        <v>1</v>
      </c>
      <c r="AI36" s="73" t="s">
        <v>723</v>
      </c>
      <c r="AJ36" s="76">
        <f>-10*LOG10(1-(0.3+K36/20))</f>
        <v>6.0205999132796242</v>
      </c>
      <c r="AK36" s="7">
        <f>IF(AI36="",0,IF(EXACT(RIGHT(AI36,2),"dB"),IF(ABS(ABS(VALUE(LEFT(AI36,FIND(" ",AI36,1))))-AJ36)&lt;=0.5,1,-1),-1))</f>
        <v>1</v>
      </c>
      <c r="AL36" s="34">
        <v>0.8871</v>
      </c>
      <c r="AM36" s="35">
        <f>((0.16*(200+K36*10+L36)/(2+K36/10))-0.16*(200+K36*10+L36)/(6+L36/10))/10</f>
        <v>0.88706896551724146</v>
      </c>
      <c r="AN36" s="7">
        <f>IF(AL36="",0,IF(ABS(VALUE(AL36)-AM36)&lt;=0.05,1,-1))</f>
        <v>1</v>
      </c>
      <c r="AO36" s="34" t="s">
        <v>725</v>
      </c>
      <c r="AP36" s="35">
        <f>((0.16*(200+K36*10+L36)/(2+K36/10))-0.16*(200+K36*10+L36)/(6+L36/10))/(10+J36)</f>
        <v>0.80642633228840133</v>
      </c>
      <c r="AQ36" s="7">
        <f>IF(AO36="",0,IF(EXACT(RIGHT(AO36,2),"m2"),IF(ABS(VALUE(LEFT(AO36,FIND(" ",AO36,1)))-AP36)&lt;=0.05,1,-1),-1))</f>
        <v>1</v>
      </c>
      <c r="AR36" s="47">
        <f>M36+P36+S36+V36+Y36+AB36+AE36+AH36+AK36+AN36+AQ36</f>
        <v>9</v>
      </c>
    </row>
    <row r="37" spans="1:44" ht="12.75" x14ac:dyDescent="0.2">
      <c r="A37" s="50">
        <v>35</v>
      </c>
      <c r="B37" s="33">
        <v>41950.774905925922</v>
      </c>
      <c r="C37" s="34" t="s">
        <v>872</v>
      </c>
      <c r="D37" s="34" t="s">
        <v>873</v>
      </c>
      <c r="E37" s="17">
        <v>258711</v>
      </c>
      <c r="F37" s="6">
        <v>1</v>
      </c>
      <c r="G37" s="6">
        <f>INT(E37/100000)</f>
        <v>2</v>
      </c>
      <c r="H37" s="6">
        <f>INT(($E37-100000*G37)/10000)</f>
        <v>5</v>
      </c>
      <c r="I37" s="6">
        <f>INT(($E37-100000*G37-10000*H37)/1000)</f>
        <v>8</v>
      </c>
      <c r="J37" s="6">
        <f>INT(($E37-100000*$G37-10000*$H37-1000*$I37)/100)</f>
        <v>7</v>
      </c>
      <c r="K37" s="6">
        <f>INT(($E37-100000*$G37-10000*$H37-1000*$I37-100*$J37)/10)</f>
        <v>1</v>
      </c>
      <c r="L37" s="6">
        <f>INT(($E37-100000*$G37-10000*$H37-1000*$I37-100*$J37-10*$K37))</f>
        <v>1</v>
      </c>
      <c r="M37" s="7">
        <v>2</v>
      </c>
      <c r="N37" s="34" t="s">
        <v>874</v>
      </c>
      <c r="O37" s="76">
        <f>10*LOG10((10^((100+10*LOG10(1/(4*PI()*(3+J37/2)^2)))/10)+10^((100-3+10*LOG10(1/(4*PI()*(3+J37/2)^2)))/10))/10^((100+10*LOG10(4*(1+L37/10)/(0.16*(2000+K37*100))))/10))</f>
        <v>-6.6571511396766532</v>
      </c>
      <c r="P37" s="7">
        <f>IF(N37="",0,IF(EXACT(RIGHT(N37,2),"dB"),IF(ABS(VALUE(LEFT(N37,FIND(" ",N37,1)))-O37)&lt;=0.5,1,-1),-1))</f>
        <v>1</v>
      </c>
      <c r="Q37" s="34">
        <v>0.19620000000000001</v>
      </c>
      <c r="R37" s="35">
        <f>(10^((100-3+10*LOG10(1/(4*PI()*(3+J37/2)^2)))/10)*COS((90-(30+L37*6))/180*PI()))/(10^((100+10*LOG10(1/(4*PI()*(3+J37/2)^2)))/10)+10^((100-3+10*LOG10(1/(4*PI()*(3+J37/2)^2)))/10))</f>
        <v>0.19623832255192022</v>
      </c>
      <c r="S37" s="7">
        <f>IF(Q37="",0,IF(ABS(VALUE(Q37)-R37)&lt;=0.05,1,-1))</f>
        <v>1</v>
      </c>
      <c r="T37" s="18"/>
      <c r="U37" s="76">
        <f>10*LOG10(10^((100+10*LOG10(1/(4*PI()*(3+J37/2)^2)))/10)+10^((100-3+10*LOG10(1/(4*PI()*(3+J37/2)^2)))/10)+10^((100+10*LOG10(4*(1+L37/10)/(0.16*(2000+K37*100))))/10))-100+31</f>
        <v>13.020169830507172</v>
      </c>
      <c r="V37" s="7">
        <f>IF(T37="",0,IF(EXACT(RIGHT(T37,2),"dB"),IF(ABS(VALUE(LEFT(T37,FIND(" ",T37,1)))-U37)&lt;=0.5,1,-1),-1))</f>
        <v>0</v>
      </c>
      <c r="W37" s="58">
        <v>0.43959999999999999</v>
      </c>
      <c r="X37" s="35">
        <f>(0.5+L37/20)/(1+10^(-(5+K37)/10))</f>
        <v>0.43958199509779405</v>
      </c>
      <c r="Y37" s="7">
        <f>IF(W37="",0,IF(ABS(VALUE(W37)-X37)&lt;=0.05,1,-1))</f>
        <v>1</v>
      </c>
      <c r="Z37" s="34" t="s">
        <v>876</v>
      </c>
      <c r="AA37" s="76">
        <f>10*LOG10(1+((100+K37*10+L37)*(0.5+J37/20))/((0.1+J37/100)*(6*(5+L37/2)^2)))</f>
        <v>6.0829612180651838</v>
      </c>
      <c r="AB37" s="7">
        <f>IF(Z37="",0,IF(EXACT(RIGHT(Z37,2),"dB"),IF(ABS(VALUE(LEFT(Z37,FIND(" ",Z37,1)))-AA37)&lt;=0.5,1,-1),-1))</f>
        <v>-1</v>
      </c>
      <c r="AC37" s="34">
        <v>0.43332999999999999</v>
      </c>
      <c r="AD37" s="35">
        <f>0.3+L37/30+0.1</f>
        <v>0.43333333333333335</v>
      </c>
      <c r="AE37" s="7">
        <f>IF(AC37="",0,IF(ABS(VALUE(AC37)-AD37)&lt;=0.05,1,-1))</f>
        <v>1</v>
      </c>
      <c r="AF37" s="34">
        <v>0.56667000000000001</v>
      </c>
      <c r="AG37" s="35">
        <f>1-AD37</f>
        <v>0.56666666666666665</v>
      </c>
      <c r="AH37" s="7">
        <f>IF(AF37="",0,IF(ABS(VALUE(AF37)-AG37)&lt;=0.05,1,-1))</f>
        <v>1</v>
      </c>
      <c r="AI37" s="73" t="s">
        <v>875</v>
      </c>
      <c r="AJ37" s="76">
        <f>-10*LOG10(1-(0.3+K37/20))</f>
        <v>1.8708664335714442</v>
      </c>
      <c r="AK37" s="7">
        <f>IF(AI37="",0,IF(EXACT(RIGHT(AI37,2),"dB"),IF(ABS(ABS(VALUE(LEFT(AI37,FIND(" ",AI37,1))))-AJ37)&lt;=0.5,1,-1),-1))</f>
        <v>1</v>
      </c>
      <c r="AL37" s="34">
        <v>1.0542</v>
      </c>
      <c r="AM37" s="35">
        <f>((0.16*(200+K37*10+L37)/(2+K37/10))-0.16*(200+K37*10+L37)/(6+L37/10))/10</f>
        <v>1.0541764246682281</v>
      </c>
      <c r="AN37" s="7">
        <f>IF(AL37="",0,IF(ABS(VALUE(AL37)-AM37)&lt;=0.05,1,-1))</f>
        <v>1</v>
      </c>
      <c r="AO37" s="34" t="s">
        <v>877</v>
      </c>
      <c r="AP37" s="35">
        <f>((0.16*(200+K37*10+L37)/(2+K37/10))-0.16*(200+K37*10+L37)/(6+L37/10))/(10+J37)</f>
        <v>0.62010377921660476</v>
      </c>
      <c r="AQ37" s="7">
        <f>IF(AO37="",0,IF(EXACT(RIGHT(AO37,2),"m2"),IF(ABS(VALUE(LEFT(AO37,FIND(" ",AO37,1)))-AP37)&lt;=0.05,1,-1),-1))</f>
        <v>1</v>
      </c>
      <c r="AR37" s="47">
        <f>M37+P37+S37+V37+Y37+AB37+AE37+AH37+AK37+AN37+AQ37</f>
        <v>9</v>
      </c>
    </row>
    <row r="38" spans="1:44" ht="12.75" x14ac:dyDescent="0.2">
      <c r="A38" s="50">
        <v>36</v>
      </c>
      <c r="B38" s="33">
        <v>41950.774970486113</v>
      </c>
      <c r="C38" s="34" t="s">
        <v>884</v>
      </c>
      <c r="D38" s="34" t="s">
        <v>885</v>
      </c>
      <c r="E38" s="17">
        <v>256146</v>
      </c>
      <c r="F38" s="6">
        <v>1</v>
      </c>
      <c r="G38" s="6">
        <f>INT(E38/100000)</f>
        <v>2</v>
      </c>
      <c r="H38" s="6">
        <f>INT(($E38-100000*G38)/10000)</f>
        <v>5</v>
      </c>
      <c r="I38" s="6">
        <f>INT(($E38-100000*G38-10000*H38)/1000)</f>
        <v>6</v>
      </c>
      <c r="J38" s="6">
        <f>INT(($E38-100000*$G38-10000*$H38-1000*$I38)/100)</f>
        <v>1</v>
      </c>
      <c r="K38" s="6">
        <f>INT(($E38-100000*$G38-10000*$H38-1000*$I38-100*$J38)/10)</f>
        <v>4</v>
      </c>
      <c r="L38" s="6">
        <f>INT(($E38-100000*$G38-10000*$H38-1000*$I38-100*$J38-10*$K38))</f>
        <v>6</v>
      </c>
      <c r="M38" s="7">
        <v>2</v>
      </c>
      <c r="N38" s="34" t="s">
        <v>886</v>
      </c>
      <c r="O38" s="76">
        <f>10*LOG10((10^((100+10*LOG10(1/(4*PI()*(3+J38/2)^2)))/10)+10^((100-3+10*LOG10(1/(4*PI()*(3+J38/2)^2)))/10))/10^((100+10*LOG10(4*(1+L38/10)/(0.16*(2000+K38*100))))/10))</f>
        <v>-2.3275983990251721</v>
      </c>
      <c r="P38" s="7">
        <f>IF(N38="",0,IF(EXACT(RIGHT(N38,2),"dB"),IF(ABS(VALUE(LEFT(N38,FIND(" ",N38,1)))-O38)&lt;=0.5,1,-1),-1))</f>
        <v>1</v>
      </c>
      <c r="Q38" s="18"/>
      <c r="R38" s="35">
        <f>(10^((100-3+10*LOG10(1/(4*PI()*(3+J38/2)^2)))/10)*COS((90-(30+L38*6))/180*PI()))/(10^((100+10*LOG10(1/(4*PI()*(3+J38/2)^2)))/10)+10^((100-3+10*LOG10(1/(4*PI()*(3+J38/2)^2)))/10))</f>
        <v>0.30499681215803365</v>
      </c>
      <c r="S38" s="7">
        <f>IF(Q38="",0,IF(ABS(VALUE(Q38)-R38)&lt;=0.05,1,-1))</f>
        <v>0</v>
      </c>
      <c r="T38" s="18"/>
      <c r="U38" s="76">
        <f>10*LOG10(10^((100+10*LOG10(1/(4*PI()*(3+J38/2)^2)))/10)+10^((100-3+10*LOG10(1/(4*PI()*(3+J38/2)^2)))/10)+10^((100+10*LOG10(4*(1+L38/10)/(0.16*(2000+K38*100))))/10))-100+31</f>
        <v>15.219091297463407</v>
      </c>
      <c r="V38" s="7">
        <f>IF(T38="",0,IF(EXACT(RIGHT(T38,2),"dB"),IF(ABS(VALUE(LEFT(T38,FIND(" ",T38,1)))-U38)&lt;=0.5,1,-1),-1))</f>
        <v>0</v>
      </c>
      <c r="W38" s="58">
        <v>0.71050000000000002</v>
      </c>
      <c r="X38" s="35">
        <f>(0.5+L38/20)/(1+10^(-(5+K38)/10))</f>
        <v>0.71054738417750651</v>
      </c>
      <c r="Y38" s="7">
        <f>IF(W38="",0,IF(ABS(VALUE(W38)-X38)&lt;=0.05,1,-1))</f>
        <v>1</v>
      </c>
      <c r="Z38" s="18"/>
      <c r="AA38" s="76">
        <f>10*LOG10(1+((100+K38*10+L38)*(0.5+J38/20))/((0.1+J38/100)*(6*(5+L38/2)^2)))</f>
        <v>4.625539664701793</v>
      </c>
      <c r="AB38" s="7">
        <f>IF(Z38="",0,IF(EXACT(RIGHT(Z38,2),"dB"),IF(ABS(VALUE(LEFT(Z38,FIND(" ",Z38,1)))-AA38)&lt;=0.5,1,-1),-1))</f>
        <v>0</v>
      </c>
      <c r="AC38" s="34">
        <v>0.6</v>
      </c>
      <c r="AD38" s="35">
        <f>0.3+L38/30+0.1</f>
        <v>0.6</v>
      </c>
      <c r="AE38" s="7">
        <f>IF(AC38="",0,IF(ABS(VALUE(AC38)-AD38)&lt;=0.05,1,-1))</f>
        <v>1</v>
      </c>
      <c r="AF38" s="34">
        <v>0.4</v>
      </c>
      <c r="AG38" s="35">
        <f>1-AD38</f>
        <v>0.4</v>
      </c>
      <c r="AH38" s="7">
        <f>IF(AF38="",0,IF(ABS(VALUE(AF38)-AG38)&lt;=0.05,1,-1))</f>
        <v>1</v>
      </c>
      <c r="AI38" s="73" t="s">
        <v>887</v>
      </c>
      <c r="AJ38" s="76">
        <f>-10*LOG10(1-(0.3+K38/20))</f>
        <v>3.0102999566398121</v>
      </c>
      <c r="AK38" s="7">
        <f>IF(AI38="",0,IF(EXACT(RIGHT(AI38,2),"dB"),IF(ABS(ABS(VALUE(LEFT(AI38,FIND(" ",AI38,1))))-AJ38)&lt;=0.5,1,-1),-1))</f>
        <v>1</v>
      </c>
      <c r="AL38" s="34">
        <v>1.0436000000000001</v>
      </c>
      <c r="AM38" s="35">
        <f>((0.16*(200+K38*10+L38)/(2+K38/10))-0.16*(200+K38*10+L38)/(6+L38/10))/10</f>
        <v>1.0436363636363637</v>
      </c>
      <c r="AN38" s="7">
        <f>IF(AL38="",0,IF(ABS(VALUE(AL38)-AM38)&lt;=0.05,1,-1))</f>
        <v>1</v>
      </c>
      <c r="AO38" s="34" t="s">
        <v>888</v>
      </c>
      <c r="AP38" s="35">
        <f>((0.16*(200+K38*10+L38)/(2+K38/10))-0.16*(200+K38*10+L38)/(6+L38/10))/(10+J38)</f>
        <v>0.9487603305785125</v>
      </c>
      <c r="AQ38" s="7">
        <f>IF(AO38="",0,IF(EXACT(RIGHT(AO38,2),"m2"),IF(ABS(VALUE(LEFT(AO38,FIND(" ",AO38,1)))-AP38)&lt;=0.05,1,-1),-1))</f>
        <v>1</v>
      </c>
      <c r="AR38" s="47">
        <f>M38+P38+S38+V38+Y38+AB38+AE38+AH38+AK38+AN38+AQ38</f>
        <v>9</v>
      </c>
    </row>
    <row r="39" spans="1:44" ht="12.75" x14ac:dyDescent="0.2">
      <c r="A39" s="50">
        <v>37</v>
      </c>
      <c r="B39" s="33">
        <v>41950.761773020837</v>
      </c>
      <c r="C39" s="34" t="s">
        <v>95</v>
      </c>
      <c r="D39" s="34" t="s">
        <v>96</v>
      </c>
      <c r="E39" s="17">
        <v>243272</v>
      </c>
      <c r="F39" s="6">
        <v>1</v>
      </c>
      <c r="G39" s="6">
        <f>INT(E39/100000)</f>
        <v>2</v>
      </c>
      <c r="H39" s="6">
        <f>INT(($E39-100000*G39)/10000)</f>
        <v>4</v>
      </c>
      <c r="I39" s="6">
        <f>INT(($E39-100000*G39-10000*H39)/1000)</f>
        <v>3</v>
      </c>
      <c r="J39" s="6">
        <f>INT(($E39-100000*$G39-10000*$H39-1000*$I39)/100)</f>
        <v>2</v>
      </c>
      <c r="K39" s="6">
        <f>INT(($E39-100000*$G39-10000*$H39-1000*$I39-100*$J39)/10)</f>
        <v>7</v>
      </c>
      <c r="L39" s="6">
        <f>INT(($E39-100000*$G39-10000*$H39-1000*$I39-100*$J39-10*$K39))</f>
        <v>2</v>
      </c>
      <c r="M39" s="7">
        <v>2</v>
      </c>
      <c r="N39" s="18"/>
      <c r="O39" s="76">
        <f>10*LOG10((10^((100+10*LOG10(1/(4*PI()*(3+J39/2)^2)))/10)+10^((100-3+10*LOG10(1/(4*PI()*(3+J39/2)^2)))/10))/10^((100+10*LOG10(4*(1+L39/10)/(0.16*(2000+K39*100))))/10))</f>
        <v>-1.7265247480220998</v>
      </c>
      <c r="P39" s="7">
        <f>IF(N39="",0,IF(EXACT(RIGHT(N39,2),"dB"),IF(ABS(VALUE(LEFT(N39,FIND(" ",N39,1)))-O39)&lt;=0.5,1,-1),-1))</f>
        <v>0</v>
      </c>
      <c r="Q39" s="18"/>
      <c r="R39" s="35">
        <f>(10^((100-3+10*LOG10(1/(4*PI()*(3+J39/2)^2)))/10)*COS((90-(30+L39*6))/180*PI()))/(10^((100+10*LOG10(1/(4*PI()*(3+J39/2)^2)))/10)+10^((100-3+10*LOG10(1/(4*PI()*(3+J39/2)^2)))/10))</f>
        <v>0.22339632926801276</v>
      </c>
      <c r="S39" s="7">
        <f>IF(Q39="",0,IF(ABS(VALUE(Q39)-R39)&lt;=0.05,1,-1))</f>
        <v>0</v>
      </c>
      <c r="T39" s="18"/>
      <c r="U39" s="76">
        <f>10*LOG10(10^((100+10*LOG10(1/(4*PI()*(3+J39/2)^2)))/10)+10^((100-3+10*LOG10(1/(4*PI()*(3+J39/2)^2)))/10)+10^((100+10*LOG10(4*(1+L39/10)/(0.16*(2000+K39*100))))/10))-100+31</f>
        <v>13.689850230294596</v>
      </c>
      <c r="V39" s="7">
        <f>IF(T39="",0,IF(EXACT(RIGHT(T39,2),"dB"),IF(ABS(VALUE(LEFT(T39,FIND(" ",T39,1)))-U39)&lt;=0.5,1,-1),-1))</f>
        <v>0</v>
      </c>
      <c r="W39" s="58">
        <v>0.56430000000000002</v>
      </c>
      <c r="X39" s="35">
        <f>(0.5+L39/20)/(1+10^(-(5+K39)/10))</f>
        <v>0.56438943413833942</v>
      </c>
      <c r="Y39" s="7">
        <f>IF(W39="",0,IF(ABS(VALUE(W39)-X39)&lt;=0.05,1,-1))</f>
        <v>1</v>
      </c>
      <c r="Z39" s="18"/>
      <c r="AA39" s="76">
        <f>10*LOG10(1+((100+K39*10+L39)*(0.5+J39/20))/((0.1+J39/100)*(6*(5+L39/2)^2)))</f>
        <v>6.9735852017943945</v>
      </c>
      <c r="AB39" s="7">
        <f>IF(Z39="",0,IF(EXACT(RIGHT(Z39,2),"dB"),IF(ABS(VALUE(LEFT(Z39,FIND(" ",Z39,1)))-AA39)&lt;=0.5,1,-1),-1))</f>
        <v>0</v>
      </c>
      <c r="AC39" s="34">
        <v>0.46</v>
      </c>
      <c r="AD39" s="35">
        <f>0.3+L39/30+0.1</f>
        <v>0.46666666666666667</v>
      </c>
      <c r="AE39" s="7">
        <f>IF(AC39="",0,IF(ABS(VALUE(AC39)-AD39)&lt;=0.05,1,-1))</f>
        <v>1</v>
      </c>
      <c r="AF39" s="34">
        <v>0.54</v>
      </c>
      <c r="AG39" s="35">
        <f>1-AD39</f>
        <v>0.53333333333333333</v>
      </c>
      <c r="AH39" s="7">
        <f>IF(AF39="",0,IF(ABS(VALUE(AF39)-AG39)&lt;=0.05,1,-1))</f>
        <v>1</v>
      </c>
      <c r="AI39" s="34" t="s">
        <v>97</v>
      </c>
      <c r="AJ39" s="76">
        <f>-10*LOG10(1-(0.3+K39/20))</f>
        <v>4.5593195564972424</v>
      </c>
      <c r="AK39" s="7">
        <f>IF(AI39="",0,IF(EXACT(RIGHT(AI39,2),"dB"),IF(ABS(ABS(VALUE(LEFT(AI39,FIND(" ",AI39,1))))-AJ39)&lt;=0.5,1,-1),-1))</f>
        <v>1</v>
      </c>
      <c r="AL39" s="34">
        <v>0.90990000000000004</v>
      </c>
      <c r="AM39" s="35">
        <f>((0.16*(200+K39*10+L39)/(2+K39/10))-0.16*(200+K39*10+L39)/(6+L39/10))/10</f>
        <v>0.90991636798088393</v>
      </c>
      <c r="AN39" s="7">
        <f>IF(AL39="",0,IF(ABS(VALUE(AL39)-AM39)&lt;=0.05,1,-1))</f>
        <v>1</v>
      </c>
      <c r="AO39" s="34" t="s">
        <v>1022</v>
      </c>
      <c r="AP39" s="35">
        <f>((0.16*(200+K39*10+L39)/(2+K39/10))-0.16*(200+K39*10+L39)/(6+L39/10))/(10+J39)</f>
        <v>0.75826363998406998</v>
      </c>
      <c r="AQ39" s="7">
        <f>IF(AO39="",0,IF(EXACT(RIGHT(AO39,2),"m2"),IF(ABS(VALUE(LEFT(AO39,FIND(" ",AO39,1)))-AP39)&lt;=0.05,1,-1),-1))</f>
        <v>1</v>
      </c>
      <c r="AR39" s="47">
        <f>M39+P39+S39+V39+Y39+AB39+AE39+AH39+AK39+AN39+AQ39</f>
        <v>8</v>
      </c>
    </row>
    <row r="40" spans="1:44" ht="12.75" x14ac:dyDescent="0.2">
      <c r="A40" s="50">
        <v>38</v>
      </c>
      <c r="B40" s="33">
        <v>41950.764552696761</v>
      </c>
      <c r="C40" s="34" t="s">
        <v>131</v>
      </c>
      <c r="D40" s="34" t="s">
        <v>132</v>
      </c>
      <c r="E40" s="17">
        <v>233604</v>
      </c>
      <c r="F40" s="6">
        <v>1</v>
      </c>
      <c r="G40" s="6">
        <f>INT(E40/100000)</f>
        <v>2</v>
      </c>
      <c r="H40" s="6">
        <f>INT(($E40-100000*G40)/10000)</f>
        <v>3</v>
      </c>
      <c r="I40" s="6">
        <f>INT(($E40-100000*G40-10000*H40)/1000)</f>
        <v>3</v>
      </c>
      <c r="J40" s="6">
        <f>INT(($E40-100000*$G40-10000*$H40-1000*$I40)/100)</f>
        <v>6</v>
      </c>
      <c r="K40" s="6">
        <f>INT(($E40-100000*$G40-10000*$H40-1000*$I40-100*$J40)/10)</f>
        <v>0</v>
      </c>
      <c r="L40" s="6">
        <f>INT(($E40-100000*$G40-10000*$H40-1000*$I40-100*$J40-10*$K40))</f>
        <v>4</v>
      </c>
      <c r="M40" s="7">
        <v>2</v>
      </c>
      <c r="N40" s="18"/>
      <c r="O40" s="76">
        <f>10*LOG10((10^((100+10*LOG10(1/(4*PI()*(3+J40/2)^2)))/10)+10^((100-3+10*LOG10(1/(4*PI()*(3+J40/2)^2)))/10))/10^((100+10*LOG10(4*(1+L40/10)/(0.16*(2000+K40*100))))/10))</f>
        <v>-7.2211555103919345</v>
      </c>
      <c r="P40" s="7">
        <f>IF(N40="",0,IF(EXACT(RIGHT(N40,2),"dB"),IF(ABS(VALUE(LEFT(N40,FIND(" ",N40,1)))-O40)&lt;=0.5,1,-1),-1))</f>
        <v>0</v>
      </c>
      <c r="Q40" s="18"/>
      <c r="R40" s="35">
        <f>(10^((100-3+10*LOG10(1/(4*PI()*(3+J40/2)^2)))/10)*COS((90-(30+L40*6))/180*PI()))/(10^((100+10*LOG10(1/(4*PI()*(3+J40/2)^2)))/10)+10^((100-3+10*LOG10(1/(4*PI()*(3+J40/2)^2)))/10))</f>
        <v>0.27009887926405357</v>
      </c>
      <c r="S40" s="7">
        <f>IF(Q40="",0,IF(ABS(VALUE(Q40)-R40)&lt;=0.05,1,-1))</f>
        <v>0</v>
      </c>
      <c r="T40" s="18"/>
      <c r="U40" s="76">
        <f>10*LOG10(10^((100+10*LOG10(1/(4*PI()*(3+J40/2)^2)))/10)+10^((100-3+10*LOG10(1/(4*PI()*(3+J40/2)^2)))/10)+10^((100+10*LOG10(4*(1+L40/10)/(0.16*(2000+K40*100))))/10))-100+31</f>
        <v>14.184463545499113</v>
      </c>
      <c r="V40" s="7">
        <f>IF(T40="",0,IF(EXACT(RIGHT(T40,2),"dB"),IF(ABS(VALUE(LEFT(T40,FIND(" ",T40,1)))-U40)&lt;=0.5,1,-1),-1))</f>
        <v>0</v>
      </c>
      <c r="W40" s="58">
        <v>0.53182284899999999</v>
      </c>
      <c r="X40" s="35">
        <f>(0.5+L40/20)/(1+10^(-(5+K40)/10))</f>
        <v>0.53182284865357043</v>
      </c>
      <c r="Y40" s="7">
        <f>IF(W40="",0,IF(ABS(VALUE(W40)-X40)&lt;=0.05,1,-1))</f>
        <v>1</v>
      </c>
      <c r="Z40" s="18"/>
      <c r="AA40" s="76">
        <f>10*LOG10(1+((100+K40*10+L40)*(0.5+J40/20))/((0.1+J40/100)*(6*(5+L40/2)^2)))</f>
        <v>4.4227707447704399</v>
      </c>
      <c r="AB40" s="7">
        <f>IF(Z40="",0,IF(EXACT(RIGHT(Z40,2),"dB"),IF(ABS(VALUE(LEFT(Z40,FIND(" ",Z40,1)))-AA40)&lt;=0.5,1,-1),-1))</f>
        <v>0</v>
      </c>
      <c r="AC40" s="34">
        <v>0.53</v>
      </c>
      <c r="AD40" s="35">
        <f>0.3+L40/30+0.1</f>
        <v>0.53333333333333333</v>
      </c>
      <c r="AE40" s="7">
        <f>IF(AC40="",0,IF(ABS(VALUE(AC40)-AD40)&lt;=0.05,1,-1))</f>
        <v>1</v>
      </c>
      <c r="AF40" s="34">
        <v>0.47</v>
      </c>
      <c r="AG40" s="35">
        <f>1-AD40</f>
        <v>0.46666666666666667</v>
      </c>
      <c r="AH40" s="7">
        <f>IF(AF40="",0,IF(ABS(VALUE(AF40)-AG40)&lt;=0.05,1,-1))</f>
        <v>1</v>
      </c>
      <c r="AI40" s="36" t="s">
        <v>133</v>
      </c>
      <c r="AJ40" s="76">
        <f>-10*LOG10(1-(0.3+K40/20))</f>
        <v>1.5490195998574319</v>
      </c>
      <c r="AK40" s="7">
        <f>IF(AI40="",0,IF(EXACT(RIGHT(AI40,2),"dB"),IF(ABS(ABS(VALUE(LEFT(AI40,FIND(" ",AI40,1))))-AJ40)&lt;=0.5,1,-1),-1))</f>
        <v>1</v>
      </c>
      <c r="AL40" s="34">
        <v>1.1220000000000001</v>
      </c>
      <c r="AM40" s="35">
        <f>((0.16*(200+K40*10+L40)/(2+K40/10))-0.16*(200+K40*10+L40)/(6+L40/10))/10</f>
        <v>1.1220000000000001</v>
      </c>
      <c r="AN40" s="7">
        <f>IF(AL40="",0,IF(ABS(VALUE(AL40)-AM40)&lt;=0.05,1,-1))</f>
        <v>1</v>
      </c>
      <c r="AO40" s="34" t="s">
        <v>134</v>
      </c>
      <c r="AP40" s="35">
        <f>((0.16*(200+K40*10+L40)/(2+K40/10))-0.16*(200+K40*10+L40)/(6+L40/10))/(10+J40)</f>
        <v>0.70125000000000004</v>
      </c>
      <c r="AQ40" s="7">
        <f>IF(AO40="",0,IF(EXACT(RIGHT(AO40,2),"m2"),IF(ABS(VALUE(LEFT(AO40,FIND(" ",AO40,1)))-AP40)&lt;=0.05,1,-1),-1))</f>
        <v>1</v>
      </c>
      <c r="AR40" s="47">
        <f>M40+P40+S40+V40+Y40+AB40+AE40+AH40+AK40+AN40+AQ40</f>
        <v>8</v>
      </c>
    </row>
    <row r="41" spans="1:44" ht="12.75" x14ac:dyDescent="0.2">
      <c r="A41" s="50">
        <v>39</v>
      </c>
      <c r="B41" s="33">
        <v>41950.765397233801</v>
      </c>
      <c r="C41" s="34" t="s">
        <v>159</v>
      </c>
      <c r="D41" s="34" t="s">
        <v>160</v>
      </c>
      <c r="E41" s="17">
        <v>233602</v>
      </c>
      <c r="F41" s="6">
        <v>1</v>
      </c>
      <c r="G41" s="6">
        <f>INT(E41/100000)</f>
        <v>2</v>
      </c>
      <c r="H41" s="6">
        <f>INT(($E41-100000*G41)/10000)</f>
        <v>3</v>
      </c>
      <c r="I41" s="6">
        <f>INT(($E41-100000*G41-10000*H41)/1000)</f>
        <v>3</v>
      </c>
      <c r="J41" s="6">
        <f>INT(($E41-100000*$G41-10000*$H41-1000*$I41)/100)</f>
        <v>6</v>
      </c>
      <c r="K41" s="6">
        <f>INT(($E41-100000*$G41-10000*$H41-1000*$I41-100*$J41)/10)</f>
        <v>0</v>
      </c>
      <c r="L41" s="6">
        <f>INT(($E41-100000*$G41-10000*$H41-1000*$I41-100*$J41-10*$K41))</f>
        <v>2</v>
      </c>
      <c r="M41" s="7">
        <v>2</v>
      </c>
      <c r="N41" s="18"/>
      <c r="O41" s="76">
        <f>10*LOG10((10^((100+10*LOG10(1/(4*PI()*(3+J41/2)^2)))/10)+10^((100-3+10*LOG10(1/(4*PI()*(3+J41/2)^2)))/10))/10^((100+10*LOG10(4*(1+L41/10)/(0.16*(2000+K41*100))))/10))</f>
        <v>-6.5516876140857914</v>
      </c>
      <c r="P41" s="7">
        <f>IF(N41="",0,IF(EXACT(RIGHT(N41,2),"dB"),IF(ABS(VALUE(LEFT(N41,FIND(" ",N41,1)))-O41)&lt;=0.5,1,-1),-1))</f>
        <v>0</v>
      </c>
      <c r="Q41" s="18"/>
      <c r="R41" s="35">
        <f>(10^((100-3+10*LOG10(1/(4*PI()*(3+J41/2)^2)))/10)*COS((90-(30+L41*6))/180*PI()))/(10^((100+10*LOG10(1/(4*PI()*(3+J41/2)^2)))/10)+10^((100-3+10*LOG10(1/(4*PI()*(3+J41/2)^2)))/10))</f>
        <v>0.22339632926801328</v>
      </c>
      <c r="S41" s="7">
        <f>IF(Q41="",0,IF(ABS(VALUE(Q41)-R41)&lt;=0.05,1,-1))</f>
        <v>0</v>
      </c>
      <c r="T41" s="18"/>
      <c r="U41" s="76">
        <f>10*LOG10(10^((100+10*LOG10(1/(4*PI()*(3+J41/2)^2)))/10)+10^((100-3+10*LOG10(1/(4*PI()*(3+J41/2)^2)))/10)+10^((100+10*LOG10(4*(1+L41/10)/(0.16*(2000+K41*100))))/10))-100+31</f>
        <v>13.628864081817994</v>
      </c>
      <c r="V41" s="7">
        <f>IF(T41="",0,IF(EXACT(RIGHT(T41,2),"dB"),IF(ABS(VALUE(LEFT(T41,FIND(" ",T41,1)))-U41)&lt;=0.5,1,-1),-1))</f>
        <v>0</v>
      </c>
      <c r="W41" s="58">
        <v>0.455848156</v>
      </c>
      <c r="X41" s="35">
        <f>(0.5+L41/20)/(1+10^(-(5+K41)/10))</f>
        <v>0.45584815598877465</v>
      </c>
      <c r="Y41" s="7">
        <f>IF(W41="",0,IF(ABS(VALUE(W41)-X41)&lt;=0.05,1,-1))</f>
        <v>1</v>
      </c>
      <c r="Z41" s="18"/>
      <c r="AA41" s="76">
        <f>10*LOG10(1+((100+K41*10+L41)*(0.5+J41/20))/((0.1+J41/100)*(6*(5+L41/2)^2)))</f>
        <v>5.2648286954916284</v>
      </c>
      <c r="AB41" s="7">
        <f>IF(Z41="",0,IF(EXACT(RIGHT(Z41,2),"dB"),IF(ABS(VALUE(LEFT(Z41,FIND(" ",Z41,1)))-AA41)&lt;=0.5,1,-1),-1))</f>
        <v>0</v>
      </c>
      <c r="AC41" s="34">
        <v>0.47</v>
      </c>
      <c r="AD41" s="35">
        <f>0.3+L41/30+0.1</f>
        <v>0.46666666666666667</v>
      </c>
      <c r="AE41" s="7">
        <f>IF(AC41="",0,IF(ABS(VALUE(AC41)-AD41)&lt;=0.05,1,-1))</f>
        <v>1</v>
      </c>
      <c r="AF41" s="34">
        <v>0.53</v>
      </c>
      <c r="AG41" s="35">
        <f>1-AD41</f>
        <v>0.53333333333333333</v>
      </c>
      <c r="AH41" s="7">
        <f>IF(AF41="",0,IF(ABS(VALUE(AF41)-AG41)&lt;=0.05,1,-1))</f>
        <v>1</v>
      </c>
      <c r="AI41" s="36" t="s">
        <v>161</v>
      </c>
      <c r="AJ41" s="76">
        <f>-10*LOG10(1-(0.3+K41/20))</f>
        <v>1.5490195998574319</v>
      </c>
      <c r="AK41" s="7">
        <f>IF(AI41="",0,IF(EXACT(RIGHT(AI41,2),"dB"),IF(ABS(ABS(VALUE(LEFT(AI41,FIND(" ",AI41,1))))-AJ41)&lt;=0.5,1,-1),-1))</f>
        <v>1</v>
      </c>
      <c r="AL41" s="34">
        <v>1.0947</v>
      </c>
      <c r="AM41" s="35">
        <f>((0.16*(200+K41*10+L41)/(2+K41/10))-0.16*(200+K41*10+L41)/(6+L41/10))/10</f>
        <v>1.0947096774193548</v>
      </c>
      <c r="AN41" s="7">
        <f>IF(AL41="",0,IF(ABS(VALUE(AL41)-AM41)&lt;=0.05,1,-1))</f>
        <v>1</v>
      </c>
      <c r="AO41" s="34" t="s">
        <v>162</v>
      </c>
      <c r="AP41" s="35">
        <f>((0.16*(200+K41*10+L41)/(2+K41/10))-0.16*(200+K41*10+L41)/(6+L41/10))/(10+J41)</f>
        <v>0.68419354838709678</v>
      </c>
      <c r="AQ41" s="7">
        <f>IF(AO41="",0,IF(EXACT(RIGHT(AO41,2),"m2"),IF(ABS(VALUE(LEFT(AO41,FIND(" ",AO41,1)))-AP41)&lt;=0.05,1,-1),-1))</f>
        <v>1</v>
      </c>
      <c r="AR41" s="47">
        <f>M41+P41+S41+V41+Y41+AB41+AE41+AH41+AK41+AN41+AQ41</f>
        <v>8</v>
      </c>
    </row>
    <row r="42" spans="1:44" ht="12.75" x14ac:dyDescent="0.2">
      <c r="A42" s="50">
        <v>40</v>
      </c>
      <c r="B42" s="33">
        <v>41950.765758194444</v>
      </c>
      <c r="C42" s="34" t="s">
        <v>181</v>
      </c>
      <c r="D42" s="34" t="s">
        <v>182</v>
      </c>
      <c r="E42" s="17">
        <v>260512</v>
      </c>
      <c r="F42" s="6">
        <v>1</v>
      </c>
      <c r="G42" s="6">
        <f>INT(E42/100000)</f>
        <v>2</v>
      </c>
      <c r="H42" s="6">
        <f>INT(($E42-100000*G42)/10000)</f>
        <v>6</v>
      </c>
      <c r="I42" s="6">
        <f>INT(($E42-100000*G42-10000*H42)/1000)</f>
        <v>0</v>
      </c>
      <c r="J42" s="6">
        <f>INT(($E42-100000*$G42-10000*$H42-1000*$I42)/100)</f>
        <v>5</v>
      </c>
      <c r="K42" s="6">
        <f>INT(($E42-100000*$G42-10000*$H42-1000*$I42-100*$J42)/10)</f>
        <v>1</v>
      </c>
      <c r="L42" s="6">
        <f>INT(($E42-100000*$G42-10000*$H42-1000*$I42-100*$J42-10*$K42))</f>
        <v>2</v>
      </c>
      <c r="M42" s="7">
        <v>2</v>
      </c>
      <c r="N42" s="18"/>
      <c r="O42" s="76">
        <f>10*LOG10((10^((100+10*LOG10(1/(4*PI()*(3+J42/2)^2)))/10)+10^((100-3+10*LOG10(1/(4*PI()*(3+J42/2)^2)))/10))/10^((100+10*LOG10(4*(1+L42/10)/(0.16*(2000+K42*100))))/10))</f>
        <v>-5.5840234055984093</v>
      </c>
      <c r="P42" s="7">
        <f>IF(N42="",0,IF(EXACT(RIGHT(N42,2),"dB"),IF(ABS(VALUE(LEFT(N42,FIND(" ",N42,1)))-O42)&lt;=0.5,1,-1),-1))</f>
        <v>0</v>
      </c>
      <c r="Q42" s="18"/>
      <c r="R42" s="35">
        <f>(10^((100-3+10*LOG10(1/(4*PI()*(3+J42/2)^2)))/10)*COS((90-(30+L42*6))/180*PI()))/(10^((100+10*LOG10(1/(4*PI()*(3+J42/2)^2)))/10)+10^((100-3+10*LOG10(1/(4*PI()*(3+J42/2)^2)))/10))</f>
        <v>0.22339632926801273</v>
      </c>
      <c r="S42" s="7">
        <f>IF(Q42="",0,IF(ABS(VALUE(Q42)-R42)&lt;=0.05,1,-1))</f>
        <v>0</v>
      </c>
      <c r="T42" s="18"/>
      <c r="U42" s="76">
        <f>10*LOG10(10^((100+10*LOG10(1/(4*PI()*(3+J42/2)^2)))/10)+10^((100-3+10*LOG10(1/(4*PI()*(3+J42/2)^2)))/10)+10^((100+10*LOG10(4*(1+L42/10)/(0.16*(2000+K42*100))))/10))-100+31</f>
        <v>13.609016668658853</v>
      </c>
      <c r="V42" s="7">
        <f>IF(T42="",0,IF(EXACT(RIGHT(T42,2),"dB"),IF(ABS(VALUE(LEFT(T42,FIND(" ",T42,1)))-U42)&lt;=0.5,1,-1),-1))</f>
        <v>0</v>
      </c>
      <c r="W42" s="58">
        <v>0.479543995</v>
      </c>
      <c r="X42" s="35">
        <f>(0.5+L42/20)/(1+10^(-(5+K42)/10))</f>
        <v>0.47954399465213893</v>
      </c>
      <c r="Y42" s="7">
        <f>IF(W42="",0,IF(ABS(VALUE(W42)-X42)&lt;=0.05,1,-1))</f>
        <v>1</v>
      </c>
      <c r="Z42" s="18"/>
      <c r="AA42" s="76">
        <f>10*LOG10(1+((100+K42*10+L42)*(0.5+J42/20))/((0.1+J42/100)*(6*(5+L42/2)^2)))</f>
        <v>5.5540797010725749</v>
      </c>
      <c r="AB42" s="7">
        <f>IF(Z42="",0,IF(EXACT(RIGHT(Z42,2),"dB"),IF(ABS(VALUE(LEFT(Z42,FIND(" ",Z42,1)))-AA42)&lt;=0.5,1,-1),-1))</f>
        <v>0</v>
      </c>
      <c r="AC42" s="34">
        <v>0.46</v>
      </c>
      <c r="AD42" s="35">
        <f>0.3+L42/30+0.1</f>
        <v>0.46666666666666667</v>
      </c>
      <c r="AE42" s="7">
        <f>IF(AC42="",0,IF(ABS(VALUE(AC42)-AD42)&lt;=0.05,1,-1))</f>
        <v>1</v>
      </c>
      <c r="AF42" s="34">
        <v>0.53</v>
      </c>
      <c r="AG42" s="35">
        <f>1-AD42</f>
        <v>0.53333333333333333</v>
      </c>
      <c r="AH42" s="7">
        <f>IF(AF42="",0,IF(ABS(VALUE(AF42)-AG42)&lt;=0.05,1,-1))</f>
        <v>1</v>
      </c>
      <c r="AI42" s="36" t="s">
        <v>183</v>
      </c>
      <c r="AJ42" s="76">
        <f>-10*LOG10(1-(0.3+K42/20))</f>
        <v>1.8708664335714442</v>
      </c>
      <c r="AK42" s="7">
        <f>IF(AI42="",0,IF(EXACT(RIGHT(AI42,2),"dB"),IF(ABS(ABS(VALUE(LEFT(AI42,FIND(" ",AI42,1))))-AJ42)&lt;=0.5,1,-1),-1))</f>
        <v>1</v>
      </c>
      <c r="AL42" s="34">
        <v>1.0940000000000001</v>
      </c>
      <c r="AM42" s="35">
        <f>((0.16*(200+K42*10+L42)/(2+K42/10))-0.16*(200+K42*10+L42)/(6+L42/10))/10</f>
        <v>1.0681413210445467</v>
      </c>
      <c r="AN42" s="7">
        <f>IF(AL42="",0,IF(ABS(VALUE(AL42)-AM42)&lt;=0.05,1,-1))</f>
        <v>1</v>
      </c>
      <c r="AO42" s="34" t="s">
        <v>184</v>
      </c>
      <c r="AP42" s="35">
        <f>((0.16*(200+K42*10+L42)/(2+K42/10))-0.16*(200+K42*10+L42)/(6+L42/10))/(10+J42)</f>
        <v>0.71209421402969786</v>
      </c>
      <c r="AQ42" s="7">
        <f>IF(AO42="",0,IF(EXACT(RIGHT(AO42,2),"m2"),IF(ABS(VALUE(LEFT(AO42,FIND(" ",AO42,1)))-AP42)&lt;=0.05,1,-1),-1))</f>
        <v>1</v>
      </c>
      <c r="AR42" s="47">
        <f>M42+P42+S42+V42+Y42+AB42+AE42+AH42+AK42+AN42+AQ42</f>
        <v>8</v>
      </c>
    </row>
    <row r="43" spans="1:44" ht="12.75" x14ac:dyDescent="0.2">
      <c r="A43" s="50">
        <v>41</v>
      </c>
      <c r="B43" s="33">
        <v>41950.766360648151</v>
      </c>
      <c r="C43" s="34" t="s">
        <v>214</v>
      </c>
      <c r="D43" s="34" t="s">
        <v>215</v>
      </c>
      <c r="E43" s="17">
        <v>250593</v>
      </c>
      <c r="F43" s="6">
        <v>1</v>
      </c>
      <c r="G43" s="6">
        <f>INT(E43/100000)</f>
        <v>2</v>
      </c>
      <c r="H43" s="6">
        <f>INT(($E43-100000*G43)/10000)</f>
        <v>5</v>
      </c>
      <c r="I43" s="6">
        <f>INT(($E43-100000*G43-10000*H43)/1000)</f>
        <v>0</v>
      </c>
      <c r="J43" s="6">
        <f>INT(($E43-100000*$G43-10000*$H43-1000*$I43)/100)</f>
        <v>5</v>
      </c>
      <c r="K43" s="6">
        <f>INT(($E43-100000*$G43-10000*$H43-1000*$I43-100*$J43)/10)</f>
        <v>9</v>
      </c>
      <c r="L43" s="6">
        <f>INT(($E43-100000*$G43-10000*$H43-1000*$I43-100*$J43-10*$K43))</f>
        <v>3</v>
      </c>
      <c r="M43" s="7">
        <v>2</v>
      </c>
      <c r="N43" s="34" t="s">
        <v>216</v>
      </c>
      <c r="O43" s="76">
        <f>10*LOG10((10^((100+10*LOG10(1/(4*PI()*(3+J43/2)^2)))/10)+10^((100-3+10*LOG10(1/(4*PI()*(3+J43/2)^2)))/10))/10^((100+10*LOG10(4*(1+L43/10)/(0.16*(2000+K43*100))))/10))</f>
        <v>-4.5298574365401638</v>
      </c>
      <c r="P43" s="7">
        <f>IF(N43="",0,IF(EXACT(RIGHT(N43,2),"dB"),IF(ABS(VALUE(LEFT(N43,FIND(" ",N43,1)))-O43)&lt;=0.5,1,-1),-1))</f>
        <v>-1</v>
      </c>
      <c r="Q43" s="34">
        <v>0.24809999999999999</v>
      </c>
      <c r="R43" s="35">
        <f>(10^((100-3+10*LOG10(1/(4*PI()*(3+J43/2)^2)))/10)*COS((90-(30+L43*6))/180*PI()))/(10^((100+10*LOG10(1/(4*PI()*(3+J43/2)^2)))/10)+10^((100-3+10*LOG10(1/(4*PI()*(3+J43/2)^2)))/10))</f>
        <v>0.24810675905195806</v>
      </c>
      <c r="S43" s="7">
        <f>IF(Q43="",0,IF(ABS(VALUE(Q43)-R43)&lt;=0.05,1,-1))</f>
        <v>1</v>
      </c>
      <c r="T43" s="34" t="s">
        <v>217</v>
      </c>
      <c r="U43" s="76">
        <f>10*LOG10(10^((100+10*LOG10(1/(4*PI()*(3+J43/2)^2)))/10)+10^((100-3+10*LOG10(1/(4*PI()*(3+J43/2)^2)))/10)+10^((100+10*LOG10(4*(1+L43/10)/(0.16*(2000+K43*100))))/10))-100+31</f>
        <v>12.805848855762491</v>
      </c>
      <c r="V43" s="7">
        <f>IF(T43="",0,IF(EXACT(RIGHT(T43,2),"dB"),IF(ABS(VALUE(LEFT(T43,FIND(" ",T43,1)))-U43)&lt;=0.5,1,-1),-1))</f>
        <v>1</v>
      </c>
      <c r="W43" s="58">
        <v>0.62509999999999999</v>
      </c>
      <c r="X43" s="35">
        <f>(0.5+L43/20)/(1+10^(-(5+K43)/10))</f>
        <v>0.62511377247653444</v>
      </c>
      <c r="Y43" s="7">
        <f>IF(W43="",0,IF(ABS(VALUE(W43)-X43)&lt;=0.05,1,-1))</f>
        <v>1</v>
      </c>
      <c r="Z43" s="34" t="s">
        <v>219</v>
      </c>
      <c r="AA43" s="76">
        <f>10*LOG10(1+((100+K43*10+L43)*(0.5+J43/20))/((0.1+J43/100)*(6*(5+L43/2)^2)))</f>
        <v>6.8184756985138826</v>
      </c>
      <c r="AB43" s="7">
        <f>IF(Z43="",0,IF(EXACT(RIGHT(Z43,2),"dB"),IF(ABS(VALUE(LEFT(Z43,FIND(" ",Z43,1)))-AA43)&lt;=0.5,1,-1),-1))</f>
        <v>1</v>
      </c>
      <c r="AC43" s="34">
        <v>0.5</v>
      </c>
      <c r="AD43" s="35">
        <f>0.3+L43/30+0.1</f>
        <v>0.5</v>
      </c>
      <c r="AE43" s="7">
        <f>IF(AC43="",0,IF(ABS(VALUE(AC43)-AD43)&lt;=0.05,1,-1))</f>
        <v>1</v>
      </c>
      <c r="AF43" s="34">
        <v>0.5</v>
      </c>
      <c r="AG43" s="35">
        <f>1-AD43</f>
        <v>0.5</v>
      </c>
      <c r="AH43" s="7">
        <f>IF(AF43="",0,IF(ABS(VALUE(AF43)-AG43)&lt;=0.05,1,-1))</f>
        <v>1</v>
      </c>
      <c r="AI43" s="34" t="s">
        <v>218</v>
      </c>
      <c r="AJ43" s="76">
        <f>-10*LOG10(1-(0.3+K43/20))</f>
        <v>6.0205999132796242</v>
      </c>
      <c r="AK43" s="7">
        <f>IF(AI43="",0,IF(EXACT(RIGHT(AI43,2),"dB"),IF(ABS(ABS(VALUE(LEFT(AI43,FIND(" ",AI43,1))))-AJ43)&lt;=0.5,1,-1),-1))</f>
        <v>-1</v>
      </c>
      <c r="AL43" s="34">
        <v>0.87239999999999995</v>
      </c>
      <c r="AM43" s="35">
        <f>((0.16*(200+K43*10+L43)/(2+K43/10))-0.16*(200+K43*10+L43)/(6+L43/10))/10</f>
        <v>0.87242474001094705</v>
      </c>
      <c r="AN43" s="7">
        <f>IF(AL43="",0,IF(ABS(VALUE(AL43)-AM43)&lt;=0.05,1,-1))</f>
        <v>1</v>
      </c>
      <c r="AO43" s="34" t="s">
        <v>220</v>
      </c>
      <c r="AP43" s="35">
        <f>((0.16*(200+K43*10+L43)/(2+K43/10))-0.16*(200+K43*10+L43)/(6+L43/10))/(10+J43)</f>
        <v>0.58161649334063137</v>
      </c>
      <c r="AQ43" s="7">
        <f>IF(AO43="",0,IF(EXACT(RIGHT(AO43,2),"m2"),IF(ABS(VALUE(LEFT(AO43,FIND(" ",AO43,1)))-AP43)&lt;=0.05,1,-1),-1))</f>
        <v>1</v>
      </c>
      <c r="AR43" s="47">
        <f>M43+P43+S43+V43+Y43+AB43+AE43+AH43+AK43+AN43+AQ43</f>
        <v>8</v>
      </c>
    </row>
    <row r="44" spans="1:44" ht="12.75" x14ac:dyDescent="0.2">
      <c r="A44" s="50">
        <v>42</v>
      </c>
      <c r="B44" s="33">
        <v>41950.766467939815</v>
      </c>
      <c r="C44" s="34" t="s">
        <v>230</v>
      </c>
      <c r="D44" s="34" t="s">
        <v>231</v>
      </c>
      <c r="E44" s="17">
        <v>251967</v>
      </c>
      <c r="F44" s="6">
        <v>1</v>
      </c>
      <c r="G44" s="6">
        <f>INT(E44/100000)</f>
        <v>2</v>
      </c>
      <c r="H44" s="6">
        <f>INT(($E44-100000*G44)/10000)</f>
        <v>5</v>
      </c>
      <c r="I44" s="6">
        <f>INT(($E44-100000*G44-10000*H44)/1000)</f>
        <v>1</v>
      </c>
      <c r="J44" s="6">
        <f>INT(($E44-100000*$G44-10000*$H44-1000*$I44)/100)</f>
        <v>9</v>
      </c>
      <c r="K44" s="6">
        <f>INT(($E44-100000*$G44-10000*$H44-1000*$I44-100*$J44)/10)</f>
        <v>6</v>
      </c>
      <c r="L44" s="6">
        <f>INT(($E44-100000*$G44-10000*$H44-1000*$I44-100*$J44-10*$K44))</f>
        <v>7</v>
      </c>
      <c r="M44" s="7">
        <v>2</v>
      </c>
      <c r="N44" s="34" t="s">
        <v>232</v>
      </c>
      <c r="O44" s="76">
        <f>10*LOG10((10^((100+10*LOG10(1/(4*PI()*(3+J44/2)^2)))/10)+10^((100-3+10*LOG10(1/(4*PI()*(3+J44/2)^2)))/10))/10^((100+10*LOG10(4*(1+L44/10)/(0.16*(2000+K44*100))))/10))</f>
        <v>-8.8631311044850509</v>
      </c>
      <c r="P44" s="7">
        <f>IF(N44="",0,IF(EXACT(RIGHT(N44,2),"dB"),IF(ABS(VALUE(LEFT(N44,FIND(" ",N44,1)))-O44)&lt;=0.5,1,-1),-1))</f>
        <v>-1</v>
      </c>
      <c r="Q44" s="34">
        <v>0.3175</v>
      </c>
      <c r="R44" s="35">
        <f>(10^((100-3+10*LOG10(1/(4*PI()*(3+J44/2)^2)))/10)*COS((90-(30+L44*6))/180*PI()))/(10^((100+10*LOG10(1/(4*PI()*(3+J44/2)^2)))/10)+10^((100-3+10*LOG10(1/(4*PI()*(3+J44/2)^2)))/10))</f>
        <v>0.31752027578427156</v>
      </c>
      <c r="S44" s="7">
        <f>IF(Q44="",0,IF(ABS(VALUE(Q44)-R44)&lt;=0.05,1,-1))</f>
        <v>1</v>
      </c>
      <c r="T44" s="34" t="s">
        <v>233</v>
      </c>
      <c r="U44" s="76">
        <f>10*LOG10(10^((100+10*LOG10(1/(4*PI()*(3+J44/2)^2)))/10)+10^((100-3+10*LOG10(1/(4*PI()*(3+J44/2)^2)))/10)+10^((100+10*LOG10(4*(1+L44/10)/(0.16*(2000+K44*100))))/10))-100+31</f>
        <v>13.664645287063763</v>
      </c>
      <c r="V44" s="7">
        <f>IF(T44="",0,IF(EXACT(RIGHT(T44,2),"dB"),IF(ABS(VALUE(LEFT(T44,FIND(" ",T44,1)))-U44)&lt;=0.5,1,-1),-1))</f>
        <v>1</v>
      </c>
      <c r="W44" s="58">
        <v>0.78744999999999998</v>
      </c>
      <c r="X44" s="35">
        <f>(0.5+L44/20)/(1+10^(-(5+K44)/10))</f>
        <v>0.7874505773000624</v>
      </c>
      <c r="Y44" s="7">
        <f>IF(W44="",0,IF(ABS(VALUE(W44)-X44)&lt;=0.05,1,-1))</f>
        <v>1</v>
      </c>
      <c r="Z44" s="34" t="s">
        <v>235</v>
      </c>
      <c r="AA44" s="76">
        <f>10*LOG10(1+((100+K44*10+L44)*(0.5+J44/20))/((0.1+J44/100)*(6*(5+L44/2)^2)))</f>
        <v>4.6630136974552041</v>
      </c>
      <c r="AB44" s="7">
        <f>IF(Z44="",0,IF(EXACT(RIGHT(Z44,2),"dB"),IF(ABS(VALUE(LEFT(Z44,FIND(" ",Z44,1)))-AA44)&lt;=0.5,1,-1),-1))</f>
        <v>1</v>
      </c>
      <c r="AC44" s="34">
        <v>0.63329999999999997</v>
      </c>
      <c r="AD44" s="35">
        <f>0.3+L44/30+0.1</f>
        <v>0.6333333333333333</v>
      </c>
      <c r="AE44" s="7">
        <f>IF(AC44="",0,IF(ABS(VALUE(AC44)-AD44)&lt;=0.05,1,-1))</f>
        <v>1</v>
      </c>
      <c r="AF44" s="34">
        <v>0.36670000000000003</v>
      </c>
      <c r="AG44" s="35">
        <f>1-AD44</f>
        <v>0.3666666666666667</v>
      </c>
      <c r="AH44" s="7">
        <f>IF(AF44="",0,IF(ABS(VALUE(AF44)-AG44)&lt;=0.05,1,-1))</f>
        <v>1</v>
      </c>
      <c r="AI44" s="34" t="s">
        <v>234</v>
      </c>
      <c r="AJ44" s="76">
        <f>-10*LOG10(1-(0.3+K44/20))</f>
        <v>3.9794000867203758</v>
      </c>
      <c r="AK44" s="7">
        <f>IF(AI44="",0,IF(EXACT(RIGHT(AI44,2),"dB"),IF(ABS(ABS(VALUE(LEFT(AI44,FIND(" ",AI44,1))))-AJ44)&lt;=0.5,1,-1),-1))</f>
        <v>-1</v>
      </c>
      <c r="AL44" s="34">
        <v>1.0049999999999999</v>
      </c>
      <c r="AM44" s="35">
        <f>((0.16*(200+K44*10+L44)/(2+K44/10))-0.16*(200+K44*10+L44)/(6+L44/10))/10</f>
        <v>1.0054649827784155</v>
      </c>
      <c r="AN44" s="7">
        <f>IF(AL44="",0,IF(ABS(VALUE(AL44)-AM44)&lt;=0.05,1,-1))</f>
        <v>1</v>
      </c>
      <c r="AO44" s="34" t="s">
        <v>236</v>
      </c>
      <c r="AP44" s="35">
        <f>((0.16*(200+K44*10+L44)/(2+K44/10))-0.16*(200+K44*10+L44)/(6+L44/10))/(10+J44)</f>
        <v>0.52919209619916607</v>
      </c>
      <c r="AQ44" s="7">
        <f>IF(AO44="",0,IF(EXACT(RIGHT(AO44,2),"m2"),IF(ABS(VALUE(LEFT(AO44,FIND(" ",AO44,1)))-AP44)&lt;=0.05,1,-1),-1))</f>
        <v>1</v>
      </c>
      <c r="AR44" s="47">
        <f>M44+P44+S44+V44+Y44+AB44+AE44+AH44+AK44+AN44+AQ44</f>
        <v>8</v>
      </c>
    </row>
    <row r="45" spans="1:44" ht="12.75" x14ac:dyDescent="0.2">
      <c r="A45" s="50">
        <v>43</v>
      </c>
      <c r="B45" s="33">
        <v>41950.766560370372</v>
      </c>
      <c r="C45" s="34" t="s">
        <v>249</v>
      </c>
      <c r="D45" s="34" t="s">
        <v>250</v>
      </c>
      <c r="E45" s="17">
        <v>248333</v>
      </c>
      <c r="F45" s="6">
        <v>1</v>
      </c>
      <c r="G45" s="6">
        <f>INT(E45/100000)</f>
        <v>2</v>
      </c>
      <c r="H45" s="6">
        <f>INT(($E45-100000*G45)/10000)</f>
        <v>4</v>
      </c>
      <c r="I45" s="6">
        <f>INT(($E45-100000*G45-10000*H45)/1000)</f>
        <v>8</v>
      </c>
      <c r="J45" s="6">
        <f>INT(($E45-100000*$G45-10000*$H45-1000*$I45)/100)</f>
        <v>3</v>
      </c>
      <c r="K45" s="6">
        <f>INT(($E45-100000*$G45-10000*$H45-1000*$I45-100*$J45)/10)</f>
        <v>3</v>
      </c>
      <c r="L45" s="6">
        <f>INT(($E45-100000*$G45-10000*$H45-1000*$I45-100*$J45-10*$K45))</f>
        <v>3</v>
      </c>
      <c r="M45" s="7">
        <v>2</v>
      </c>
      <c r="N45" s="34" t="s">
        <v>251</v>
      </c>
      <c r="O45" s="76">
        <f>10*LOG10((10^((100+10*LOG10(1/(4*PI()*(3+J45/2)^2)))/10)+10^((100-3+10*LOG10(1/(4*PI()*(3+J45/2)^2)))/10))/10^((100+10*LOG10(4*(1+L45/10)/(0.16*(2000+K45*100))))/10))</f>
        <v>-3.7935555409757993</v>
      </c>
      <c r="P45" s="7">
        <f>IF(N45="",0,IF(EXACT(RIGHT(N45,2),"dB"),IF(ABS(VALUE(LEFT(N45,FIND(" ",N45,1)))-O45)&lt;=0.5,1,-1),-1))</f>
        <v>-1</v>
      </c>
      <c r="Q45" s="34">
        <v>0.248</v>
      </c>
      <c r="R45" s="35">
        <f>(10^((100-3+10*LOG10(1/(4*PI()*(3+J45/2)^2)))/10)*COS((90-(30+L45*6))/180*PI()))/(10^((100+10*LOG10(1/(4*PI()*(3+J45/2)^2)))/10)+10^((100-3+10*LOG10(1/(4*PI()*(3+J45/2)^2)))/10))</f>
        <v>0.24810675905195806</v>
      </c>
      <c r="S45" s="7">
        <f>IF(Q45="",0,IF(ABS(VALUE(Q45)-R45)&lt;=0.05,1,-1))</f>
        <v>1</v>
      </c>
      <c r="T45" s="34" t="s">
        <v>252</v>
      </c>
      <c r="U45" s="76">
        <f>10*LOG10(10^((100+10*LOG10(1/(4*PI()*(3+J45/2)^2)))/10)+10^((100-3+10*LOG10(1/(4*PI()*(3+J45/2)^2)))/10)+10^((100+10*LOG10(4*(1+L45/10)/(0.16*(2000+K45*100))))/10))-100+31</f>
        <v>14.016750481796123</v>
      </c>
      <c r="V45" s="7">
        <f>IF(T45="",0,IF(EXACT(RIGHT(T45,2),"dB"),IF(ABS(VALUE(LEFT(T45,FIND(" ",T45,1)))-U45)&lt;=0.5,1,-1),-1))</f>
        <v>1</v>
      </c>
      <c r="W45" s="58">
        <v>0.56100000000000005</v>
      </c>
      <c r="X45" s="35">
        <f>(0.5+L45/20)/(1+10^(-(5+K45)/10))</f>
        <v>0.56107552240791358</v>
      </c>
      <c r="Y45" s="7">
        <f>IF(W45="",0,IF(ABS(VALUE(W45)-X45)&lt;=0.05,1,-1))</f>
        <v>1</v>
      </c>
      <c r="Z45" s="34" t="s">
        <v>254</v>
      </c>
      <c r="AA45" s="76">
        <f>10*LOG10(1+((100+K45*10+L45)*(0.5+J45/20))/((0.1+J45/100)*(6*(5+L45/2)^2)))</f>
        <v>5.5910119697247236</v>
      </c>
      <c r="AB45" s="7">
        <f>IF(Z45="",0,IF(EXACT(RIGHT(Z45,2),"dB"),IF(ABS(VALUE(LEFT(Z45,FIND(" ",Z45,1)))-AA45)&lt;=0.5,1,-1),-1))</f>
        <v>1</v>
      </c>
      <c r="AC45" s="34">
        <v>0.5</v>
      </c>
      <c r="AD45" s="35">
        <f>0.3+L45/30+0.1</f>
        <v>0.5</v>
      </c>
      <c r="AE45" s="7">
        <f>IF(AC45="",0,IF(ABS(VALUE(AC45)-AD45)&lt;=0.05,1,-1))</f>
        <v>1</v>
      </c>
      <c r="AF45" s="34">
        <v>0.5</v>
      </c>
      <c r="AG45" s="35">
        <f>1-AD45</f>
        <v>0.5</v>
      </c>
      <c r="AH45" s="7">
        <f>IF(AF45="",0,IF(ABS(VALUE(AF45)-AG45)&lt;=0.05,1,-1))</f>
        <v>1</v>
      </c>
      <c r="AI45" s="34" t="s">
        <v>253</v>
      </c>
      <c r="AJ45" s="76">
        <f>-10*LOG10(1-(0.3+K45/20))</f>
        <v>2.5963731050575611</v>
      </c>
      <c r="AK45" s="7">
        <f>IF(AI45="",0,IF(EXACT(RIGHT(AI45,2),"dB"),IF(ABS(ABS(VALUE(LEFT(AI45,FIND(" ",AI45,1))))-AJ45)&lt;=0.5,1,-1),-1))</f>
        <v>-1</v>
      </c>
      <c r="AL45" s="34">
        <v>1.0289999999999999</v>
      </c>
      <c r="AM45" s="35">
        <f>((0.16*(200+K45*10+L45)/(2+K45/10))-0.16*(200+K45*10+L45)/(6+L45/10))/10</f>
        <v>1.0291235334713598</v>
      </c>
      <c r="AN45" s="7">
        <f>IF(AL45="",0,IF(ABS(VALUE(AL45)-AM45)&lt;=0.05,1,-1))</f>
        <v>1</v>
      </c>
      <c r="AO45" s="34" t="s">
        <v>255</v>
      </c>
      <c r="AP45" s="35">
        <f>((0.16*(200+K45*10+L45)/(2+K45/10))-0.16*(200+K45*10+L45)/(6+L45/10))/(10+J45)</f>
        <v>0.79163348728566141</v>
      </c>
      <c r="AQ45" s="7">
        <f>IF(AO45="",0,IF(EXACT(RIGHT(AO45,2),"m2"),IF(ABS(VALUE(LEFT(AO45,FIND(" ",AO45,1)))-AP45)&lt;=0.05,1,-1),-1))</f>
        <v>1</v>
      </c>
      <c r="AR45" s="47">
        <f>M45+P45+S45+V45+Y45+AB45+AE45+AH45+AK45+AN45+AQ45</f>
        <v>8</v>
      </c>
    </row>
    <row r="46" spans="1:44" ht="12.75" x14ac:dyDescent="0.2">
      <c r="A46" s="50">
        <v>44</v>
      </c>
      <c r="B46" s="33">
        <v>41950.766570208332</v>
      </c>
      <c r="C46" s="34" t="s">
        <v>256</v>
      </c>
      <c r="D46" s="34" t="s">
        <v>257</v>
      </c>
      <c r="E46" s="17">
        <v>251965</v>
      </c>
      <c r="F46" s="6">
        <v>1</v>
      </c>
      <c r="G46" s="6">
        <f>INT(E46/100000)</f>
        <v>2</v>
      </c>
      <c r="H46" s="6">
        <f>INT(($E46-100000*G46)/10000)</f>
        <v>5</v>
      </c>
      <c r="I46" s="6">
        <f>INT(($E46-100000*G46-10000*H46)/1000)</f>
        <v>1</v>
      </c>
      <c r="J46" s="6">
        <f>INT(($E46-100000*$G46-10000*$H46-1000*$I46)/100)</f>
        <v>9</v>
      </c>
      <c r="K46" s="6">
        <f>INT(($E46-100000*$G46-10000*$H46-1000*$I46-100*$J46)/10)</f>
        <v>6</v>
      </c>
      <c r="L46" s="6">
        <f>INT(($E46-100000*$G46-10000*$H46-1000*$I46-100*$J46-10*$K46))</f>
        <v>5</v>
      </c>
      <c r="M46" s="7">
        <v>2</v>
      </c>
      <c r="N46" s="34" t="s">
        <v>258</v>
      </c>
      <c r="O46" s="76">
        <f>10*LOG10((10^((100+10*LOG10(1/(4*PI()*(3+J46/2)^2)))/10)+10^((100-3+10*LOG10(1/(4*PI()*(3+J46/2)^2)))/10))/10^((100+10*LOG10(4*(1+L46/10)/(0.16*(2000+K46*100))))/10))</f>
        <v>-8.3195544812591145</v>
      </c>
      <c r="P46" s="7">
        <f>IF(N46="",0,IF(EXACT(RIGHT(N46,2),"dB"),IF(ABS(VALUE(LEFT(N46,FIND(" ",N46,1)))-O46)&lt;=0.5,1,-1),-1))</f>
        <v>-1</v>
      </c>
      <c r="Q46" s="34">
        <v>0.28910000000000002</v>
      </c>
      <c r="R46" s="35">
        <f>(10^((100-3+10*LOG10(1/(4*PI()*(3+J46/2)^2)))/10)*COS((90-(30+L46*6))/180*PI()))/(10^((100+10*LOG10(1/(4*PI()*(3+J46/2)^2)))/10)+10^((100-3+10*LOG10(1/(4*PI()*(3+J46/2)^2)))/10))</f>
        <v>0.28913173963310695</v>
      </c>
      <c r="S46" s="7">
        <f>IF(Q46="",0,IF(ABS(VALUE(Q46)-R46)&lt;=0.05,1,-1))</f>
        <v>1</v>
      </c>
      <c r="T46" s="34" t="s">
        <v>259</v>
      </c>
      <c r="U46" s="76">
        <f>10*LOG10(10^((100+10*LOG10(1/(4*PI()*(3+J46/2)^2)))/10)+10^((100-3+10*LOG10(1/(4*PI()*(3+J46/2)^2)))/10)+10^((100+10*LOG10(4*(1+L46/10)/(0.16*(2000+K46*100))))/10))-100+31</f>
        <v>13.187146061682128</v>
      </c>
      <c r="V46" s="7">
        <f>IF(T46="",0,IF(EXACT(RIGHT(T46,2),"dB"),IF(ABS(VALUE(LEFT(T46,FIND(" ",T46,1)))-U46)&lt;=0.5,1,-1),-1))</f>
        <v>1</v>
      </c>
      <c r="W46" s="58">
        <v>0.69481000000000004</v>
      </c>
      <c r="X46" s="35">
        <f>(0.5+L46/20)/(1+10^(-(5+K46)/10))</f>
        <v>0.69480933291181979</v>
      </c>
      <c r="Y46" s="7">
        <f>IF(W46="",0,IF(ABS(VALUE(W46)-X46)&lt;=0.05,1,-1))</f>
        <v>1</v>
      </c>
      <c r="Z46" s="34" t="s">
        <v>261</v>
      </c>
      <c r="AA46" s="76">
        <f>10*LOG10(1+((100+K46*10+L46)*(0.5+J46/20))/((0.1+J46/100)*(6*(5+L46/2)^2)))</f>
        <v>5.3711918439494788</v>
      </c>
      <c r="AB46" s="7">
        <f>IF(Z46="",0,IF(EXACT(RIGHT(Z46,2),"dB"),IF(ABS(VALUE(LEFT(Z46,FIND(" ",Z46,1)))-AA46)&lt;=0.5,1,-1),-1))</f>
        <v>1</v>
      </c>
      <c r="AC46" s="34">
        <v>0.56667000000000001</v>
      </c>
      <c r="AD46" s="35">
        <f>0.3+L46/30+0.1</f>
        <v>0.56666666666666665</v>
      </c>
      <c r="AE46" s="7">
        <f>IF(AC46="",0,IF(ABS(VALUE(AC46)-AD46)&lt;=0.05,1,-1))</f>
        <v>1</v>
      </c>
      <c r="AF46" s="34">
        <v>0.43332999999999999</v>
      </c>
      <c r="AG46" s="35">
        <f>1-AD46</f>
        <v>0.43333333333333335</v>
      </c>
      <c r="AH46" s="7">
        <f>IF(AF46="",0,IF(ABS(VALUE(AF46)-AG46)&lt;=0.05,1,-1))</f>
        <v>1</v>
      </c>
      <c r="AI46" s="34" t="s">
        <v>260</v>
      </c>
      <c r="AJ46" s="76">
        <f>-10*LOG10(1-(0.3+K46/20))</f>
        <v>3.9794000867203758</v>
      </c>
      <c r="AK46" s="7">
        <f>IF(AI46="",0,IF(EXACT(RIGHT(AI46,2),"dB"),IF(ABS(ABS(VALUE(LEFT(AI46,FIND(" ",AI46,1))))-AJ46)&lt;=0.5,1,-1),-1))</f>
        <v>-1</v>
      </c>
      <c r="AL46" s="34">
        <v>0.97850000000000004</v>
      </c>
      <c r="AM46" s="35">
        <f>((0.16*(200+K46*10+L46)/(2+K46/10))-0.16*(200+K46*10+L46)/(6+L46/10))/10</f>
        <v>0.97846153846153838</v>
      </c>
      <c r="AN46" s="7">
        <f>IF(AL46="",0,IF(ABS(VALUE(AL46)-AM46)&lt;=0.05,1,-1))</f>
        <v>1</v>
      </c>
      <c r="AO46" s="34" t="s">
        <v>262</v>
      </c>
      <c r="AP46" s="35">
        <f>((0.16*(200+K46*10+L46)/(2+K46/10))-0.16*(200+K46*10+L46)/(6+L46/10))/(10+J46)</f>
        <v>0.5149797570850202</v>
      </c>
      <c r="AQ46" s="7">
        <f>IF(AO46="",0,IF(EXACT(RIGHT(AO46,2),"m2"),IF(ABS(VALUE(LEFT(AO46,FIND(" ",AO46,1)))-AP46)&lt;=0.05,1,-1),-1))</f>
        <v>1</v>
      </c>
      <c r="AR46" s="47">
        <f>M46+P46+S46+V46+Y46+AB46+AE46+AH46+AK46+AN46+AQ46</f>
        <v>8</v>
      </c>
    </row>
    <row r="47" spans="1:44" ht="12.75" x14ac:dyDescent="0.2">
      <c r="A47" s="50">
        <v>45</v>
      </c>
      <c r="B47" s="33">
        <v>41950.769501504634</v>
      </c>
      <c r="C47" s="34" t="s">
        <v>567</v>
      </c>
      <c r="D47" s="34" t="s">
        <v>568</v>
      </c>
      <c r="E47" s="17">
        <v>224023</v>
      </c>
      <c r="F47" s="6">
        <v>1</v>
      </c>
      <c r="G47" s="6">
        <f>INT(E47/100000)</f>
        <v>2</v>
      </c>
      <c r="H47" s="6">
        <f>INT(($E47-100000*G47)/10000)</f>
        <v>2</v>
      </c>
      <c r="I47" s="6">
        <f>INT(($E47-100000*G47-10000*H47)/1000)</f>
        <v>4</v>
      </c>
      <c r="J47" s="6">
        <f>INT(($E47-100000*$G47-10000*$H47-1000*$I47)/100)</f>
        <v>0</v>
      </c>
      <c r="K47" s="6">
        <f>INT(($E47-100000*$G47-10000*$H47-1000*$I47-100*$J47)/10)</f>
        <v>2</v>
      </c>
      <c r="L47" s="6">
        <f>INT(($E47-100000*$G47-10000*$H47-1000*$I47-100*$J47-10*$K47))</f>
        <v>3</v>
      </c>
      <c r="M47" s="7">
        <v>2</v>
      </c>
      <c r="N47" s="36" t="s">
        <v>569</v>
      </c>
      <c r="O47" s="76">
        <f>10*LOG10((10^((100+10*LOG10(1/(4*PI()*(3+J47/2)^2)))/10)+10^((100-3+10*LOG10(1/(4*PI()*(3+J47/2)^2)))/10))/10^((100+10*LOG10(4*(1+L47/10)/(0.16*(2000+K47*100))))/10))</f>
        <v>-0.46478191181604078</v>
      </c>
      <c r="P47" s="7">
        <f>IF(N47="",0,IF(EXACT(RIGHT(N47,2),"dB"),IF(ABS(VALUE(LEFT(N47,FIND(" ",N47,1)))-O47)&lt;=0.5,1,-1),-1))</f>
        <v>1</v>
      </c>
      <c r="Q47" s="34">
        <v>0.248</v>
      </c>
      <c r="R47" s="35">
        <f>(10^((100-3+10*LOG10(1/(4*PI()*(3+J47/2)^2)))/10)*COS((90-(30+L47*6))/180*PI()))/(10^((100+10*LOG10(1/(4*PI()*(3+J47/2)^2)))/10)+10^((100-3+10*LOG10(1/(4*PI()*(3+J47/2)^2)))/10))</f>
        <v>0.24810675905195864</v>
      </c>
      <c r="S47" s="7">
        <f>IF(Q47="",0,IF(ABS(VALUE(Q47)-R47)&lt;=0.05,1,-1))</f>
        <v>1</v>
      </c>
      <c r="T47" s="34" t="s">
        <v>570</v>
      </c>
      <c r="U47" s="76">
        <f>10*LOG10(10^((100+10*LOG10(1/(4*PI()*(3+J47/2)^2)))/10)+10^((100-3+10*LOG10(1/(4*PI()*(3+J47/2)^2)))/10)+10^((100+10*LOG10(4*(1+L47/10)/(0.16*(2000+K47*100))))/10))-100+31</f>
        <v>15.478730456844062</v>
      </c>
      <c r="V47" s="7">
        <f>IF(T47="",0,IF(EXACT(RIGHT(T47,2),"dB"),IF(ABS(VALUE(LEFT(T47,FIND(" ",T47,1)))-U47)&lt;=0.5,1,-1),-1))</f>
        <v>-1</v>
      </c>
      <c r="W47" s="58">
        <v>0.54</v>
      </c>
      <c r="X47" s="35">
        <f>(0.5+L47/20)/(1+10^(-(5+K47)/10))</f>
        <v>0.54188060496923474</v>
      </c>
      <c r="Y47" s="7">
        <f>IF(W47="",0,IF(ABS(VALUE(W47)-X47)&lt;=0.05,1,-1))</f>
        <v>1</v>
      </c>
      <c r="Z47" s="34" t="s">
        <v>571</v>
      </c>
      <c r="AA47" s="76">
        <f>10*LOG10(1+((100+K47*10+L47)*(0.5+J47/20))/((0.1+J47/100)*(6*(5+L47/2)^2)))</f>
        <v>5.3479185911376268</v>
      </c>
      <c r="AB47" s="7">
        <f>IF(Z47="",0,IF(EXACT(RIGHT(Z47,2),"dB"),IF(ABS(VALUE(LEFT(Z47,FIND(" ",Z47,1)))-AA47)&lt;=0.5,1,-1),-1))</f>
        <v>1</v>
      </c>
      <c r="AC47" s="34">
        <v>0.5</v>
      </c>
      <c r="AD47" s="35">
        <f>0.3+L47/30+0.1</f>
        <v>0.5</v>
      </c>
      <c r="AE47" s="7">
        <f>IF(AC47="",0,IF(ABS(VALUE(AC47)-AD47)&lt;=0.05,1,-1))</f>
        <v>1</v>
      </c>
      <c r="AF47" s="34">
        <v>0.5</v>
      </c>
      <c r="AG47" s="35">
        <f>1-AD47</f>
        <v>0.5</v>
      </c>
      <c r="AH47" s="7">
        <f>IF(AF47="",0,IF(ABS(VALUE(AF47)-AG47)&lt;=0.05,1,-1))</f>
        <v>1</v>
      </c>
      <c r="AI47" s="18"/>
      <c r="AJ47" s="76">
        <f>-10*LOG10(1-(0.3+K47/20))</f>
        <v>2.2184874961635641</v>
      </c>
      <c r="AK47" s="7">
        <f>IF(AI47="",0,IF(EXACT(RIGHT(AI47,2),"dB"),IF(ABS(ABS(VALUE(LEFT(AI47,FIND(" ",AI47,1))))-AJ47)&lt;=0.5,1,-1),-1))</f>
        <v>0</v>
      </c>
      <c r="AL47" s="34">
        <v>1.05</v>
      </c>
      <c r="AM47" s="35">
        <f>((0.16*(200+K47*10+L47)/(2+K47/10))-0.16*(200+K47*10+L47)/(6+L47/10))/10</f>
        <v>1.055468975468975</v>
      </c>
      <c r="AN47" s="7">
        <f>IF(AL47="",0,IF(ABS(VALUE(AL47)-AM47)&lt;=0.05,1,-1))</f>
        <v>1</v>
      </c>
      <c r="AO47" s="18"/>
      <c r="AP47" s="35">
        <f>((0.16*(200+K47*10+L47)/(2+K47/10))-0.16*(200+K47*10+L47)/(6+L47/10))/(10+J47)</f>
        <v>1.055468975468975</v>
      </c>
      <c r="AQ47" s="7">
        <f>IF(AO47="",0,IF(EXACT(RIGHT(AO47,2),"m2"),IF(ABS(VALUE(LEFT(AO47,FIND(" ",AO47,1)))-AP47)&lt;=0.05,1,-1),-1))</f>
        <v>0</v>
      </c>
      <c r="AR47" s="47">
        <f>M47+P47+S47+V47+Y47+AB47+AE47+AH47+AK47+AN47+AQ47</f>
        <v>8</v>
      </c>
    </row>
    <row r="48" spans="1:44" ht="12.75" x14ac:dyDescent="0.2">
      <c r="A48" s="50">
        <v>46</v>
      </c>
      <c r="B48" s="33">
        <v>41950.770175289355</v>
      </c>
      <c r="C48" s="34" t="s">
        <v>646</v>
      </c>
      <c r="D48" s="34" t="s">
        <v>647</v>
      </c>
      <c r="E48" s="17">
        <v>253884</v>
      </c>
      <c r="F48" s="6">
        <v>1</v>
      </c>
      <c r="G48" s="6">
        <f>INT(E48/100000)</f>
        <v>2</v>
      </c>
      <c r="H48" s="6">
        <f>INT(($E48-100000*G48)/10000)</f>
        <v>5</v>
      </c>
      <c r="I48" s="6">
        <f>INT(($E48-100000*G48-10000*H48)/1000)</f>
        <v>3</v>
      </c>
      <c r="J48" s="6">
        <f>INT(($E48-100000*$G48-10000*$H48-1000*$I48)/100)</f>
        <v>8</v>
      </c>
      <c r="K48" s="6">
        <f>INT(($E48-100000*$G48-10000*$H48-1000*$I48-100*$J48)/10)</f>
        <v>8</v>
      </c>
      <c r="L48" s="6">
        <f>INT(($E48-100000*$G48-10000*$H48-1000*$I48-100*$J48-10*$K48))</f>
        <v>4</v>
      </c>
      <c r="M48" s="7">
        <v>2</v>
      </c>
      <c r="N48" s="36" t="s">
        <v>648</v>
      </c>
      <c r="O48" s="76">
        <f>10*LOG10((10^((100+10*LOG10(1/(4*PI()*(3+J48/2)^2)))/10)+10^((100-3+10*LOG10(1/(4*PI()*(3+J48/2)^2)))/10))/10^((100+10*LOG10(4*(1+L48/10)/(0.16*(2000+K48*100))))/10))</f>
        <v>-7.0988109462218016</v>
      </c>
      <c r="P48" s="7">
        <f>IF(N48="",0,IF(EXACT(RIGHT(N48,2),"dB"),IF(ABS(VALUE(LEFT(N48,FIND(" ",N48,1)))-O48)&lt;=0.5,1,-1),-1))</f>
        <v>1</v>
      </c>
      <c r="Q48" s="34">
        <v>0.27</v>
      </c>
      <c r="R48" s="35">
        <f>(10^((100-3+10*LOG10(1/(4*PI()*(3+J48/2)^2)))/10)*COS((90-(30+L48*6))/180*PI()))/(10^((100+10*LOG10(1/(4*PI()*(3+J48/2)^2)))/10)+10^((100-3+10*LOG10(1/(4*PI()*(3+J48/2)^2)))/10))</f>
        <v>0.2700988792640529</v>
      </c>
      <c r="S48" s="7">
        <f>IF(Q48="",0,IF(ABS(VALUE(Q48)-R48)&lt;=0.05,1,-1))</f>
        <v>1</v>
      </c>
      <c r="T48" s="34" t="s">
        <v>649</v>
      </c>
      <c r="U48" s="76">
        <f>10*LOG10(10^((100+10*LOG10(1/(4*PI()*(3+J48/2)^2)))/10)+10^((100-3+10*LOG10(1/(4*PI()*(3+J48/2)^2)))/10)+10^((100+10*LOG10(4*(1+L48/10)/(0.16*(2000+K48*100))))/10))-100+31</f>
        <v>12.742916744996876</v>
      </c>
      <c r="V48" s="7">
        <f>IF(T48="",0,IF(EXACT(RIGHT(T48,2),"dB"),IF(ABS(VALUE(LEFT(T48,FIND(" ",T48,1)))-U48)&lt;=0.5,1,-1),-1))</f>
        <v>-1</v>
      </c>
      <c r="W48" s="58">
        <v>0.66649999999999998</v>
      </c>
      <c r="X48" s="35">
        <f>(0.5+L48/20)/(1+10^(-(5+K48)/10))</f>
        <v>0.66659129527605732</v>
      </c>
      <c r="Y48" s="7">
        <f>IF(W48="",0,IF(ABS(VALUE(W48)-X48)&lt;=0.05,1,-1))</f>
        <v>1</v>
      </c>
      <c r="Z48" s="34" t="s">
        <v>651</v>
      </c>
      <c r="AA48" s="76">
        <f>10*LOG10(1+((100+K48*10+L48)*(0.5+J48/20))/((0.1+J48/100)*(6*(5+L48/2)^2)))</f>
        <v>6.1587135632708154</v>
      </c>
      <c r="AB48" s="7">
        <f>IF(Z48="",0,IF(EXACT(RIGHT(Z48,2),"dB"),IF(ABS(VALUE(LEFT(Z48,FIND(" ",Z48,1)))-AA48)&lt;=0.5,1,-1),-1))</f>
        <v>1</v>
      </c>
      <c r="AC48" s="34">
        <v>0.53300000000000003</v>
      </c>
      <c r="AD48" s="35">
        <f>0.3+L48/30+0.1</f>
        <v>0.53333333333333333</v>
      </c>
      <c r="AE48" s="7">
        <f>IF(AC48="",0,IF(ABS(VALUE(AC48)-AD48)&lt;=0.05,1,-1))</f>
        <v>1</v>
      </c>
      <c r="AF48" s="34">
        <v>0.46700000000000003</v>
      </c>
      <c r="AG48" s="35">
        <f>1-AD48</f>
        <v>0.46666666666666667</v>
      </c>
      <c r="AH48" s="7">
        <f>IF(AF48="",0,IF(ABS(VALUE(AF48)-AG48)&lt;=0.05,1,-1))</f>
        <v>1</v>
      </c>
      <c r="AI48" s="34" t="s">
        <v>650</v>
      </c>
      <c r="AJ48" s="76">
        <f>-10*LOG10(1-(0.3+K48/20))</f>
        <v>5.2287874528033749</v>
      </c>
      <c r="AK48" s="7">
        <f>IF(AI48="",0,IF(EXACT(RIGHT(AI48,2),"dB"),IF(ABS(ABS(VALUE(LEFT(AI48,FIND(" ",AI48,1))))-AJ48)&lt;=0.5,1,-1),-1))</f>
        <v>-1</v>
      </c>
      <c r="AL48" s="34">
        <v>0.91285700000000003</v>
      </c>
      <c r="AM48" s="35">
        <f>((0.16*(200+K48*10+L48)/(2+K48/10))-0.16*(200+K48*10+L48)/(6+L48/10))/10</f>
        <v>0.91285714285714281</v>
      </c>
      <c r="AN48" s="7">
        <f>IF(AL48="",0,IF(ABS(VALUE(AL48)-AM48)&lt;=0.05,1,-1))</f>
        <v>1</v>
      </c>
      <c r="AO48" s="34" t="s">
        <v>652</v>
      </c>
      <c r="AP48" s="35">
        <f>((0.16*(200+K48*10+L48)/(2+K48/10))-0.16*(200+K48*10+L48)/(6+L48/10))/(10+J48)</f>
        <v>0.50714285714285712</v>
      </c>
      <c r="AQ48" s="7">
        <f>IF(AO48="",0,IF(EXACT(RIGHT(AO48,2),"m2"),IF(ABS(VALUE(LEFT(AO48,FIND(" ",AO48,1)))-AP48)&lt;=0.05,1,-1),-1))</f>
        <v>1</v>
      </c>
      <c r="AR48" s="47">
        <f>M48+P48+S48+V48+Y48+AB48+AE48+AH48+AK48+AN48+AQ48</f>
        <v>8</v>
      </c>
    </row>
    <row r="49" spans="1:44" ht="12.75" x14ac:dyDescent="0.2">
      <c r="A49" s="50">
        <v>47</v>
      </c>
      <c r="B49" s="33">
        <v>41950.771223900469</v>
      </c>
      <c r="C49" s="34" t="s">
        <v>101</v>
      </c>
      <c r="D49" s="34" t="s">
        <v>102</v>
      </c>
      <c r="E49" s="17">
        <v>241047</v>
      </c>
      <c r="F49" s="6">
        <v>1</v>
      </c>
      <c r="G49" s="6">
        <f>INT(E49/100000)</f>
        <v>2</v>
      </c>
      <c r="H49" s="6">
        <f>INT(($E49-100000*G49)/10000)</f>
        <v>4</v>
      </c>
      <c r="I49" s="6">
        <f>INT(($E49-100000*G49-10000*H49)/1000)</f>
        <v>1</v>
      </c>
      <c r="J49" s="6">
        <f>INT(($E49-100000*$G49-10000*$H49-1000*$I49)/100)</f>
        <v>0</v>
      </c>
      <c r="K49" s="6">
        <f>INT(($E49-100000*$G49-10000*$H49-1000*$I49-100*$J49)/10)</f>
        <v>4</v>
      </c>
      <c r="L49" s="6">
        <f>INT(($E49-100000*$G49-10000*$H49-1000*$I49-100*$J49-10*$K49))</f>
        <v>7</v>
      </c>
      <c r="M49" s="7">
        <v>2</v>
      </c>
      <c r="N49" s="34" t="s">
        <v>103</v>
      </c>
      <c r="O49" s="76">
        <f>10*LOG10((10^((100+10*LOG10(1/(4*PI()*(3+J49/2)^2)))/10)+10^((100-3+10*LOG10(1/(4*PI()*(3+J49/2)^2)))/10))/10^((100+10*LOG10(4*(1+L49/10)/(0.16*(2000+K49*100))))/10))</f>
        <v>-1.2519519936364154</v>
      </c>
      <c r="P49" s="7">
        <f>IF(N49="",0,IF(EXACT(RIGHT(N49,2),"dB"),IF(ABS(VALUE(LEFT(N49,FIND(" ",N49,1)))-O49)&lt;=0.5,1,-1),-1))</f>
        <v>-1</v>
      </c>
      <c r="Q49" s="18"/>
      <c r="R49" s="35">
        <f>(10^((100-3+10*LOG10(1/(4*PI()*(3+J49/2)^2)))/10)*COS((90-(30+L49*6))/180*PI()))/(10^((100+10*LOG10(1/(4*PI()*(3+J49/2)^2)))/10)+10^((100-3+10*LOG10(1/(4*PI()*(3+J49/2)^2)))/10))</f>
        <v>0.31752027578427189</v>
      </c>
      <c r="S49" s="7">
        <f>IF(Q49="",0,IF(ABS(VALUE(Q49)-R49)&lt;=0.05,1,-1))</f>
        <v>0</v>
      </c>
      <c r="T49" s="18"/>
      <c r="U49" s="76">
        <f>10*LOG10(10^((100+10*LOG10(1/(4*PI()*(3+J49/2)^2)))/10)+10^((100-3+10*LOG10(1/(4*PI()*(3+J49/2)^2)))/10)+10^((100+10*LOG10(4*(1+L49/10)/(0.16*(2000+K49*100))))/10))-100+31</f>
        <v>15.911058429597333</v>
      </c>
      <c r="V49" s="7">
        <f>IF(T49="",0,IF(EXACT(RIGHT(T49,2),"dB"),IF(ABS(VALUE(LEFT(T49,FIND(" ",T49,1)))-U49)&lt;=0.5,1,-1),-1))</f>
        <v>0</v>
      </c>
      <c r="W49" s="58">
        <v>0.755</v>
      </c>
      <c r="X49" s="35">
        <f>(0.5+L49/20)/(1+10^(-(5+K49)/10))</f>
        <v>0.75495659568860052</v>
      </c>
      <c r="Y49" s="7">
        <f>IF(W49="",0,IF(ABS(VALUE(W49)-X49)&lt;=0.05,1,-1))</f>
        <v>1</v>
      </c>
      <c r="Z49" s="36" t="s">
        <v>105</v>
      </c>
      <c r="AA49" s="76">
        <f>10*LOG10(1+((100+K49*10+L49)*(0.5+J49/20))/((0.1+J49/100)*(6*(5+L49/2)^2)))</f>
        <v>4.3063961491601654</v>
      </c>
      <c r="AB49" s="7">
        <f>IF(Z49="",0,IF(EXACT(RIGHT(Z49,2),"dB"),IF(ABS(VALUE(LEFT(Z49,FIND(" ",Z49,1)))-AA49)&lt;=0.5,1,-1),-1))</f>
        <v>1</v>
      </c>
      <c r="AC49" s="34">
        <v>0.63300000000000001</v>
      </c>
      <c r="AD49" s="35">
        <f>0.3+L49/30+0.1</f>
        <v>0.6333333333333333</v>
      </c>
      <c r="AE49" s="7">
        <f>IF(AC49="",0,IF(ABS(VALUE(AC49)-AD49)&lt;=0.05,1,-1))</f>
        <v>1</v>
      </c>
      <c r="AF49" s="34">
        <v>0.36699999999999999</v>
      </c>
      <c r="AG49" s="35">
        <f>1-AD49</f>
        <v>0.3666666666666667</v>
      </c>
      <c r="AH49" s="7">
        <f>IF(AF49="",0,IF(ABS(VALUE(AF49)-AG49)&lt;=0.05,1,-1))</f>
        <v>1</v>
      </c>
      <c r="AI49" s="34" t="s">
        <v>104</v>
      </c>
      <c r="AJ49" s="76">
        <f>-10*LOG10(1-(0.3+K49/20))</f>
        <v>3.0102999566398121</v>
      </c>
      <c r="AK49" s="7">
        <f>IF(AI49="",0,IF(EXACT(RIGHT(AI49,2),"dB"),IF(ABS(ABS(VALUE(LEFT(AI49,FIND(" ",AI49,1))))-AJ49)&lt;=0.5,1,-1),-1))</f>
        <v>1</v>
      </c>
      <c r="AL49" s="34">
        <v>1.0569999999999999</v>
      </c>
      <c r="AM49" s="35">
        <f>((0.16*(200+K49*10+L49)/(2+K49/10))-0.16*(200+K49*10+L49)/(6+L49/10))/10</f>
        <v>1.0568159203980101</v>
      </c>
      <c r="AN49" s="7">
        <f>IF(AL49="",0,IF(ABS(VALUE(AL49)-AM49)&lt;=0.05,1,-1))</f>
        <v>1</v>
      </c>
      <c r="AO49" s="34" t="s">
        <v>106</v>
      </c>
      <c r="AP49" s="35">
        <f>((0.16*(200+K49*10+L49)/(2+K49/10))-0.16*(200+K49*10+L49)/(6+L49/10))/(10+J49)</f>
        <v>1.0568159203980101</v>
      </c>
      <c r="AQ49" s="7">
        <f>IF(AO49="",0,IF(EXACT(RIGHT(AO49,2),"m2"),IF(ABS(VALUE(LEFT(AO49,FIND(" ",AO49,1)))-AP49)&lt;=0.05,1,-1),-1))</f>
        <v>1</v>
      </c>
      <c r="AR49" s="47">
        <f>M49+P49+S49+V49+Y49+AB49+AE49+AH49+AK49+AN49+AQ49</f>
        <v>8</v>
      </c>
    </row>
    <row r="50" spans="1:44" ht="12.75" x14ac:dyDescent="0.2">
      <c r="A50" s="50">
        <v>48</v>
      </c>
      <c r="B50" s="33">
        <v>41950.771270046294</v>
      </c>
      <c r="C50" s="34" t="s">
        <v>746</v>
      </c>
      <c r="D50" s="34" t="s">
        <v>747</v>
      </c>
      <c r="E50" s="17">
        <v>105709</v>
      </c>
      <c r="F50" s="6">
        <v>1</v>
      </c>
      <c r="G50" s="6">
        <f>INT(E50/100000)</f>
        <v>1</v>
      </c>
      <c r="H50" s="6">
        <f>INT(($E50-100000*G50)/10000)</f>
        <v>0</v>
      </c>
      <c r="I50" s="6">
        <f>INT(($E50-100000*G50-10000*H50)/1000)</f>
        <v>5</v>
      </c>
      <c r="J50" s="6">
        <f>INT(($E50-100000*$G50-10000*$H50-1000*$I50)/100)</f>
        <v>7</v>
      </c>
      <c r="K50" s="6">
        <f>INT(($E50-100000*$G50-10000*$H50-1000*$I50-100*$J50)/10)</f>
        <v>0</v>
      </c>
      <c r="L50" s="6">
        <f>INT(($E50-100000*$G50-10000*$H50-1000*$I50-100*$J50-10*$K50))</f>
        <v>9</v>
      </c>
      <c r="M50" s="7">
        <v>2</v>
      </c>
      <c r="N50" s="34" t="s">
        <v>748</v>
      </c>
      <c r="O50" s="76">
        <f>10*LOG10((10^((100+10*LOG10(1/(4*PI()*(3+J50/2)^2)))/10)+10^((100-3+10*LOG10(1/(4*PI()*(3+J50/2)^2)))/10))/10^((100+10*LOG10(4*(1+L50/10)/(0.16*(2000+K50*100))))/10))</f>
        <v>-9.2426532883220744</v>
      </c>
      <c r="P50" s="7">
        <f>IF(N50="",0,IF(EXACT(RIGHT(N50,2),"dB"),IF(ABS(VALUE(LEFT(N50,FIND(" ",N50,1)))-O50)&lt;=0.5,1,-1),-1))</f>
        <v>1</v>
      </c>
      <c r="Q50" s="18"/>
      <c r="R50" s="35">
        <f>(10^((100-3+10*LOG10(1/(4*PI()*(3+J50/2)^2)))/10)*COS((90-(30+L50*6))/180*PI()))/(10^((100+10*LOG10(1/(4*PI()*(3+J50/2)^2)))/10)+10^((100-3+10*LOG10(1/(4*PI()*(3+J50/2)^2)))/10))</f>
        <v>0.33203165225233644</v>
      </c>
      <c r="S50" s="7">
        <f>IF(Q50="",0,IF(ABS(VALUE(Q50)-R50)&lt;=0.05,1,-1))</f>
        <v>0</v>
      </c>
      <c r="T50" s="18"/>
      <c r="U50" s="76">
        <f>10*LOG10(10^((100+10*LOG10(1/(4*PI()*(3+J50/2)^2)))/10)+10^((100-3+10*LOG10(1/(4*PI()*(3+J50/2)^2)))/10)+10^((100+10*LOG10(4*(1+L50/10)/(0.16*(2000+K50*100))))/10))-100+31</f>
        <v>15.245136663316913</v>
      </c>
      <c r="V50" s="7">
        <f>IF(T50="",0,IF(EXACT(RIGHT(T50,2),"dB"),IF(ABS(VALUE(LEFT(T50,FIND(" ",T50,1)))-U50)&lt;=0.5,1,-1),-1))</f>
        <v>0</v>
      </c>
      <c r="W50" s="58">
        <v>0.72199999999999998</v>
      </c>
      <c r="X50" s="35">
        <f>(0.5+L50/20)/(1+10^(-(5+K50)/10))</f>
        <v>0.72175958031555987</v>
      </c>
      <c r="Y50" s="7">
        <f>IF(W50="",0,IF(ABS(VALUE(W50)-X50)&lt;=0.05,1,-1))</f>
        <v>1</v>
      </c>
      <c r="Z50" s="34" t="s">
        <v>750</v>
      </c>
      <c r="AA50" s="76">
        <f>10*LOG10(1+((100+K50*10+L50)*(0.5+J50/20))/((0.1+J50/100)*(6*(5+L50/2)^2)))</f>
        <v>3.0243126969520411</v>
      </c>
      <c r="AB50" s="7">
        <f>IF(Z50="",0,IF(EXACT(RIGHT(Z50,2),"dB"),IF(ABS(VALUE(LEFT(Z50,FIND(" ",Z50,1)))-AA50)&lt;=0.5,1,-1),-1))</f>
        <v>1</v>
      </c>
      <c r="AC50" s="34">
        <v>0.7</v>
      </c>
      <c r="AD50" s="35">
        <f>0.3+L50/30+0.1</f>
        <v>0.7</v>
      </c>
      <c r="AE50" s="7">
        <f>IF(AC50="",0,IF(ABS(VALUE(AC50)-AD50)&lt;=0.05,1,-1))</f>
        <v>1</v>
      </c>
      <c r="AF50" s="34">
        <v>0.3</v>
      </c>
      <c r="AG50" s="35">
        <f>1-AD50</f>
        <v>0.30000000000000004</v>
      </c>
      <c r="AH50" s="7">
        <f>IF(AF50="",0,IF(ABS(VALUE(AF50)-AG50)&lt;=0.05,1,-1))</f>
        <v>1</v>
      </c>
      <c r="AI50" s="34" t="s">
        <v>749</v>
      </c>
      <c r="AJ50" s="76">
        <f>-10*LOG10(1-(0.3+K50/20))</f>
        <v>1.5490195998574319</v>
      </c>
      <c r="AK50" s="7">
        <f>IF(AI50="",0,IF(EXACT(RIGHT(AI50,2),"dB"),IF(ABS(ABS(VALUE(LEFT(AI50,FIND(" ",AI50,1))))-AJ50)&lt;=0.5,1,-1),-1))</f>
        <v>-1</v>
      </c>
      <c r="AL50" s="34">
        <v>1.1870000000000001</v>
      </c>
      <c r="AM50" s="35">
        <f>((0.16*(200+K50*10+L50)/(2+K50/10))-0.16*(200+K50*10+L50)/(6+L50/10))/10</f>
        <v>1.1873623188405795</v>
      </c>
      <c r="AN50" s="7">
        <f>IF(AL50="",0,IF(ABS(VALUE(AL50)-AM50)&lt;=0.05,1,-1))</f>
        <v>1</v>
      </c>
      <c r="AO50" s="34" t="s">
        <v>751</v>
      </c>
      <c r="AP50" s="35">
        <f>((0.16*(200+K50*10+L50)/(2+K50/10))-0.16*(200+K50*10+L50)/(6+L50/10))/(10+J50)</f>
        <v>0.69844842284739972</v>
      </c>
      <c r="AQ50" s="7">
        <f>IF(AO50="",0,IF(EXACT(RIGHT(AO50,2),"m2"),IF(ABS(VALUE(LEFT(AO50,FIND(" ",AO50,1)))-AP50)&lt;=0.05,1,-1),-1))</f>
        <v>1</v>
      </c>
      <c r="AR50" s="47">
        <f>M50+P50+S50+V50+Y50+AB50+AE50+AH50+AK50+AN50+AQ50</f>
        <v>8</v>
      </c>
    </row>
    <row r="51" spans="1:44" ht="12.75" x14ac:dyDescent="0.2">
      <c r="A51" s="50">
        <v>49</v>
      </c>
      <c r="B51" s="33">
        <v>41950.771798923612</v>
      </c>
      <c r="C51" s="34" t="s">
        <v>806</v>
      </c>
      <c r="D51" s="34" t="s">
        <v>807</v>
      </c>
      <c r="E51" s="17">
        <v>241067</v>
      </c>
      <c r="F51" s="6">
        <v>1</v>
      </c>
      <c r="G51" s="6">
        <f>INT(E51/100000)</f>
        <v>2</v>
      </c>
      <c r="H51" s="6">
        <f>INT(($E51-100000*G51)/10000)</f>
        <v>4</v>
      </c>
      <c r="I51" s="6">
        <f>INT(($E51-100000*G51-10000*H51)/1000)</f>
        <v>1</v>
      </c>
      <c r="J51" s="6">
        <f>INT(($E51-100000*$G51-10000*$H51-1000*$I51)/100)</f>
        <v>0</v>
      </c>
      <c r="K51" s="6">
        <f>INT(($E51-100000*$G51-10000*$H51-1000*$I51-100*$J51)/10)</f>
        <v>6</v>
      </c>
      <c r="L51" s="6">
        <f>INT(($E51-100000*$G51-10000*$H51-1000*$I51-100*$J51-10*$K51))</f>
        <v>7</v>
      </c>
      <c r="M51" s="7">
        <v>2</v>
      </c>
      <c r="N51" s="34" t="s">
        <v>808</v>
      </c>
      <c r="O51" s="76">
        <f>10*LOG10((10^((100+10*LOG10(1/(4*PI()*(3+J51/2)^2)))/10)+10^((100-3+10*LOG10(1/(4*PI()*(3+J51/2)^2)))/10))/10^((100+10*LOG10(4*(1+L51/10)/(0.16*(2000+K51*100))))/10))</f>
        <v>-0.90433093104430384</v>
      </c>
      <c r="P51" s="7">
        <f>IF(N51="",0,IF(EXACT(RIGHT(N51,2),"dB"),IF(ABS(VALUE(LEFT(N51,FIND(" ",N51,1)))-O51)&lt;=0.5,1,-1),-1))</f>
        <v>-1</v>
      </c>
      <c r="Q51" s="18"/>
      <c r="R51" s="35">
        <f>(10^((100-3+10*LOG10(1/(4*PI()*(3+J51/2)^2)))/10)*COS((90-(30+L51*6))/180*PI()))/(10^((100+10*LOG10(1/(4*PI()*(3+J51/2)^2)))/10)+10^((100-3+10*LOG10(1/(4*PI()*(3+J51/2)^2)))/10))</f>
        <v>0.31752027578427189</v>
      </c>
      <c r="S51" s="7">
        <f>IF(Q51="",0,IF(ABS(VALUE(Q51)-R51)&lt;=0.05,1,-1))</f>
        <v>0</v>
      </c>
      <c r="T51" s="18"/>
      <c r="U51" s="76">
        <f>10*LOG10(10^((100+10*LOG10(1/(4*PI()*(3+J51/2)^2)))/10)+10^((100-3+10*LOG10(1/(4*PI()*(3+J51/2)^2)))/10)+10^((100+10*LOG10(4*(1+L51/10)/(0.16*(2000+K51*100))))/10))-100+31</f>
        <v>15.715786499878476</v>
      </c>
      <c r="V51" s="7">
        <f>IF(T51="",0,IF(EXACT(RIGHT(T51,2),"dB"),IF(ABS(VALUE(LEFT(T51,FIND(" ",T51,1)))-U51)&lt;=0.5,1,-1),-1))</f>
        <v>0</v>
      </c>
      <c r="W51" s="58">
        <v>0.78745057699999998</v>
      </c>
      <c r="X51" s="35">
        <f>(0.5+L51/20)/(1+10^(-(5+K51)/10))</f>
        <v>0.7874505773000624</v>
      </c>
      <c r="Y51" s="7">
        <f>IF(W51="",0,IF(ABS(VALUE(W51)-X51)&lt;=0.05,1,-1))</f>
        <v>1</v>
      </c>
      <c r="Z51" s="34" t="s">
        <v>810</v>
      </c>
      <c r="AA51" s="76">
        <f>10*LOG10(1+((100+K51*10+L51)*(0.5+J51/20))/((0.1+J51/100)*(6*(5+L51/2)^2)))</f>
        <v>4.6630136974552041</v>
      </c>
      <c r="AB51" s="7">
        <f>IF(Z51="",0,IF(EXACT(RIGHT(Z51,2),"dB"),IF(ABS(VALUE(LEFT(Z51,FIND(" ",Z51,1)))-AA51)&lt;=0.5,1,-1),-1))</f>
        <v>1</v>
      </c>
      <c r="AC51" s="34">
        <v>0.63333333300000005</v>
      </c>
      <c r="AD51" s="35">
        <f>0.3+L51/30+0.1</f>
        <v>0.6333333333333333</v>
      </c>
      <c r="AE51" s="7">
        <f>IF(AC51="",0,IF(ABS(VALUE(AC51)-AD51)&lt;=0.05,1,-1))</f>
        <v>1</v>
      </c>
      <c r="AF51" s="34">
        <v>0.36666666599999997</v>
      </c>
      <c r="AG51" s="35">
        <f>1-AD51</f>
        <v>0.3666666666666667</v>
      </c>
      <c r="AH51" s="7">
        <f>IF(AF51="",0,IF(ABS(VALUE(AF51)-AG51)&lt;=0.05,1,-1))</f>
        <v>1</v>
      </c>
      <c r="AI51" s="34" t="s">
        <v>809</v>
      </c>
      <c r="AJ51" s="76">
        <f>-10*LOG10(1-(0.3+K51/20))</f>
        <v>3.9794000867203758</v>
      </c>
      <c r="AK51" s="7">
        <f>IF(AI51="",0,IF(EXACT(RIGHT(AI51,2),"dB"),IF(ABS(ABS(VALUE(LEFT(AI51,FIND(" ",AI51,1))))-AJ51)&lt;=0.5,1,-1),-1))</f>
        <v>1</v>
      </c>
      <c r="AL51" s="34">
        <v>1.005464983</v>
      </c>
      <c r="AM51" s="35">
        <f>((0.16*(200+K51*10+L51)/(2+K51/10))-0.16*(200+K51*10+L51)/(6+L51/10))/10</f>
        <v>1.0054649827784155</v>
      </c>
      <c r="AN51" s="7">
        <f>IF(AL51="",0,IF(ABS(VALUE(AL51)-AM51)&lt;=0.05,1,-1))</f>
        <v>1</v>
      </c>
      <c r="AO51" s="34" t="s">
        <v>811</v>
      </c>
      <c r="AP51" s="35">
        <f>((0.16*(200+K51*10+L51)/(2+K51/10))-0.16*(200+K51*10+L51)/(6+L51/10))/(10+J51)</f>
        <v>1.0054649827784155</v>
      </c>
      <c r="AQ51" s="7">
        <f>IF(AO51="",0,IF(EXACT(RIGHT(AO51,2),"m2"),IF(ABS(VALUE(LEFT(AO51,FIND(" ",AO51,1)))-AP51)&lt;=0.05,1,-1),-1))</f>
        <v>1</v>
      </c>
      <c r="AR51" s="47">
        <f>M51+P51+S51+V51+Y51+AB51+AE51+AH51+AK51+AN51+AQ51</f>
        <v>8</v>
      </c>
    </row>
    <row r="52" spans="1:44" ht="12.75" x14ac:dyDescent="0.2">
      <c r="A52" s="50">
        <v>50</v>
      </c>
      <c r="B52" s="33">
        <v>41950.771892349541</v>
      </c>
      <c r="C52" s="34" t="s">
        <v>817</v>
      </c>
      <c r="D52" s="34" t="s">
        <v>818</v>
      </c>
      <c r="E52" s="17">
        <v>245026</v>
      </c>
      <c r="F52" s="6">
        <v>1</v>
      </c>
      <c r="G52" s="6">
        <f>INT(E52/100000)</f>
        <v>2</v>
      </c>
      <c r="H52" s="6">
        <f>INT(($E52-100000*G52)/10000)</f>
        <v>4</v>
      </c>
      <c r="I52" s="6">
        <f>INT(($E52-100000*G52-10000*H52)/1000)</f>
        <v>5</v>
      </c>
      <c r="J52" s="6">
        <f>INT(($E52-100000*$G52-10000*$H52-1000*$I52)/100)</f>
        <v>0</v>
      </c>
      <c r="K52" s="6">
        <f>INT(($E52-100000*$G52-10000*$H52-1000*$I52-100*$J52)/10)</f>
        <v>2</v>
      </c>
      <c r="L52" s="6">
        <f>INT(($E52-100000*$G52-10000*$H52-1000*$I52-100*$J52-10*$K52))</f>
        <v>6</v>
      </c>
      <c r="M52" s="7">
        <v>2</v>
      </c>
      <c r="N52" s="34" t="s">
        <v>819</v>
      </c>
      <c r="O52" s="76">
        <f>10*LOG10((10^((100+10*LOG10(1/(4*PI()*(3+J52/2)^2)))/10)+10^((100-3+10*LOG10(1/(4*PI()*(3+J52/2)^2)))/10))/10^((100+10*LOG10(4*(1+L52/10)/(0.16*(2000+K52*100))))/10))</f>
        <v>-1.3665482153069246</v>
      </c>
      <c r="P52" s="7">
        <f>IF(N52="",0,IF(EXACT(RIGHT(N52,2),"dB"),IF(ABS(VALUE(LEFT(N52,FIND(" ",N52,1)))-O52)&lt;=0.5,1,-1),-1))</f>
        <v>-1</v>
      </c>
      <c r="Q52" s="18"/>
      <c r="R52" s="35">
        <f>(10^((100-3+10*LOG10(1/(4*PI()*(3+J52/2)^2)))/10)*COS((90-(30+L52*6))/180*PI()))/(10^((100+10*LOG10(1/(4*PI()*(3+J52/2)^2)))/10)+10^((100-3+10*LOG10(1/(4*PI()*(3+J52/2)^2)))/10))</f>
        <v>0.30499681215803437</v>
      </c>
      <c r="S52" s="7">
        <f>IF(Q52="",0,IF(ABS(VALUE(Q52)-R52)&lt;=0.05,1,-1))</f>
        <v>0</v>
      </c>
      <c r="T52" s="18"/>
      <c r="U52" s="76">
        <f>10*LOG10(10^((100+10*LOG10(1/(4*PI()*(3+J52/2)^2)))/10)+10^((100-3+10*LOG10(1/(4*PI()*(3+J52/2)^2)))/10)+10^((100+10*LOG10(4*(1+L52/10)/(0.16*(2000+K52*100))))/10))-100+31</f>
        <v>15.976928313435977</v>
      </c>
      <c r="V52" s="7">
        <f>IF(T52="",0,IF(EXACT(RIGHT(T52,2),"dB"),IF(ABS(VALUE(LEFT(T52,FIND(" ",T52,1)))-U52)&lt;=0.5,1,-1),-1))</f>
        <v>0</v>
      </c>
      <c r="W52" s="58">
        <v>0.66692997529999998</v>
      </c>
      <c r="X52" s="35">
        <f>(0.5+L52/20)/(1+10^(-(5+K52)/10))</f>
        <v>0.66692997534675047</v>
      </c>
      <c r="Y52" s="7">
        <f>IF(W52="",0,IF(ABS(VALUE(W52)-X52)&lt;=0.05,1,-1))</f>
        <v>1</v>
      </c>
      <c r="Z52" s="34" t="s">
        <v>821</v>
      </c>
      <c r="AA52" s="76">
        <f>10*LOG10(1+((100+K52*10+L52)*(0.5+J52/20))/((0.1+J52/100)*(6*(5+L52/2)^2)))</f>
        <v>4.2170673062978636</v>
      </c>
      <c r="AB52" s="7">
        <f>IF(Z52="",0,IF(EXACT(RIGHT(Z52,2),"dB"),IF(ABS(VALUE(LEFT(Z52,FIND(" ",Z52,1)))-AA52)&lt;=0.5,1,-1),-1))</f>
        <v>1</v>
      </c>
      <c r="AC52" s="34">
        <v>0.6</v>
      </c>
      <c r="AD52" s="35">
        <f>0.3+L52/30+0.1</f>
        <v>0.6</v>
      </c>
      <c r="AE52" s="7">
        <f>IF(AC52="",0,IF(ABS(VALUE(AC52)-AD52)&lt;=0.05,1,-1))</f>
        <v>1</v>
      </c>
      <c r="AF52" s="34">
        <v>0.4</v>
      </c>
      <c r="AG52" s="35">
        <f>1-AD52</f>
        <v>0.4</v>
      </c>
      <c r="AH52" s="7">
        <f>IF(AF52="",0,IF(ABS(VALUE(AF52)-AG52)&lt;=0.05,1,-1))</f>
        <v>1</v>
      </c>
      <c r="AI52" s="34" t="s">
        <v>820</v>
      </c>
      <c r="AJ52" s="76">
        <f>-10*LOG10(1-(0.3+K52/20))</f>
        <v>2.2184874961635641</v>
      </c>
      <c r="AK52" s="7">
        <f>IF(AI52="",0,IF(EXACT(RIGHT(AI52,2),"dB"),IF(ABS(ABS(VALUE(LEFT(AI52,FIND(" ",AI52,1))))-AJ52)&lt;=0.5,1,-1),-1))</f>
        <v>1</v>
      </c>
      <c r="AL52" s="34">
        <v>1.0957575740000001</v>
      </c>
      <c r="AM52" s="35">
        <f>((0.16*(200+K52*10+L52)/(2+K52/10))-0.16*(200+K52*10+L52)/(6+L52/10))/10</f>
        <v>1.0957575757575757</v>
      </c>
      <c r="AN52" s="7">
        <f>IF(AL52="",0,IF(ABS(VALUE(AL52)-AM52)&lt;=0.05,1,-1))</f>
        <v>1</v>
      </c>
      <c r="AO52" s="34" t="s">
        <v>822</v>
      </c>
      <c r="AP52" s="35">
        <f>((0.16*(200+K52*10+L52)/(2+K52/10))-0.16*(200+K52*10+L52)/(6+L52/10))/(10+J52)</f>
        <v>1.0957575757575757</v>
      </c>
      <c r="AQ52" s="7">
        <f>IF(AO52="",0,IF(EXACT(RIGHT(AO52,2),"m2"),IF(ABS(VALUE(LEFT(AO52,FIND(" ",AO52,1)))-AP52)&lt;=0.05,1,-1),-1))</f>
        <v>1</v>
      </c>
      <c r="AR52" s="47">
        <f>M52+P52+S52+V52+Y52+AB52+AE52+AH52+AK52+AN52+AQ52</f>
        <v>8</v>
      </c>
    </row>
    <row r="53" spans="1:44" ht="12.75" x14ac:dyDescent="0.2">
      <c r="A53" s="50">
        <v>51</v>
      </c>
      <c r="B53" s="33">
        <v>41950.772148298616</v>
      </c>
      <c r="C53" s="34" t="s">
        <v>429</v>
      </c>
      <c r="D53" s="34" t="s">
        <v>430</v>
      </c>
      <c r="E53" s="17">
        <v>233102</v>
      </c>
      <c r="F53" s="6">
        <v>1</v>
      </c>
      <c r="G53" s="6">
        <f>INT(E53/100000)</f>
        <v>2</v>
      </c>
      <c r="H53" s="6">
        <f>INT(($E53-100000*G53)/10000)</f>
        <v>3</v>
      </c>
      <c r="I53" s="6">
        <f>INT(($E53-100000*G53-10000*H53)/1000)</f>
        <v>3</v>
      </c>
      <c r="J53" s="6">
        <f>INT(($E53-100000*$G53-10000*$H53-1000*$I53)/100)</f>
        <v>1</v>
      </c>
      <c r="K53" s="6">
        <f>INT(($E53-100000*$G53-10000*$H53-1000*$I53-100*$J53)/10)</f>
        <v>0</v>
      </c>
      <c r="L53" s="6">
        <f>INT(($E53-100000*$G53-10000*$H53-1000*$I53-100*$J53-10*$K53))</f>
        <v>2</v>
      </c>
      <c r="M53" s="7">
        <v>2</v>
      </c>
      <c r="N53" s="34" t="s">
        <v>431</v>
      </c>
      <c r="O53" s="76">
        <f>10*LOG10((10^((100+10*LOG10(1/(4*PI()*(3+J53/2)^2)))/10)+10^((100-3+10*LOG10(1/(4*PI()*(3+J53/2)^2)))/10))/10^((100+10*LOG10(4*(1+L53/10)/(0.16*(2000+K53*100))))/10))</f>
        <v>-1.8700234934184266</v>
      </c>
      <c r="P53" s="7">
        <f>IF(N53="",0,IF(EXACT(RIGHT(N53,2),"dB"),IF(ABS(VALUE(LEFT(N53,FIND(" ",N53,1)))-O53)&lt;=0.5,1,-1),-1))</f>
        <v>-1</v>
      </c>
      <c r="Q53" s="18"/>
      <c r="R53" s="35">
        <f>(10^((100-3+10*LOG10(1/(4*PI()*(3+J53/2)^2)))/10)*COS((90-(30+L53*6))/180*PI()))/(10^((100+10*LOG10(1/(4*PI()*(3+J53/2)^2)))/10)+10^((100-3+10*LOG10(1/(4*PI()*(3+J53/2)^2)))/10))</f>
        <v>0.22339632926801273</v>
      </c>
      <c r="S53" s="7">
        <f>IF(Q53="",0,IF(ABS(VALUE(Q53)-R53)&lt;=0.05,1,-1))</f>
        <v>0</v>
      </c>
      <c r="T53" s="18"/>
      <c r="U53" s="76">
        <f>10*LOG10(10^((100+10*LOG10(1/(4*PI()*(3+J53/2)^2)))/10)+10^((100-3+10*LOG10(1/(4*PI()*(3+J53/2)^2)))/10)+10^((100+10*LOG10(4*(1+L53/10)/(0.16*(2000+K53*100))))/10))-100+31</f>
        <v>14.936084119560164</v>
      </c>
      <c r="V53" s="7">
        <f>IF(T53="",0,IF(EXACT(RIGHT(T53,2),"dB"),IF(ABS(VALUE(LEFT(T53,FIND(" ",T53,1)))-U53)&lt;=0.5,1,-1),-1))</f>
        <v>0</v>
      </c>
      <c r="W53" s="58">
        <v>0.45579999999999998</v>
      </c>
      <c r="X53" s="35">
        <f>(0.5+L53/20)/(1+10^(-(5+K53)/10))</f>
        <v>0.45584815598877465</v>
      </c>
      <c r="Y53" s="7">
        <f>IF(W53="",0,IF(ABS(VALUE(W53)-X53)&lt;=0.05,1,-1))</f>
        <v>1</v>
      </c>
      <c r="Z53" s="34" t="s">
        <v>433</v>
      </c>
      <c r="AA53" s="76">
        <f>10*LOG10(1+((100+K53*10+L53)*(0.5+J53/20))/((0.1+J53/100)*(6*(5+L53/2)^2)))</f>
        <v>5.2648286954916284</v>
      </c>
      <c r="AB53" s="7">
        <f>IF(Z53="",0,IF(EXACT(RIGHT(Z53,2),"dB"),IF(ABS(VALUE(LEFT(Z53,FIND(" ",Z53,1)))-AA53)&lt;=0.5,1,-1),-1))</f>
        <v>1</v>
      </c>
      <c r="AC53" s="34">
        <v>0.46660000000000001</v>
      </c>
      <c r="AD53" s="35">
        <f>0.3+L53/30+0.1</f>
        <v>0.46666666666666667</v>
      </c>
      <c r="AE53" s="7">
        <f>IF(AC53="",0,IF(ABS(VALUE(AC53)-AD53)&lt;=0.05,1,-1))</f>
        <v>1</v>
      </c>
      <c r="AF53" s="34">
        <v>0.53339999999999999</v>
      </c>
      <c r="AG53" s="35">
        <f>1-AD53</f>
        <v>0.53333333333333333</v>
      </c>
      <c r="AH53" s="7">
        <f>IF(AF53="",0,IF(ABS(VALUE(AF53)-AG53)&lt;=0.05,1,-1))</f>
        <v>1</v>
      </c>
      <c r="AI53" s="34" t="s">
        <v>432</v>
      </c>
      <c r="AJ53" s="76">
        <f>-10*LOG10(1-(0.3+K53/20))</f>
        <v>1.5490195998574319</v>
      </c>
      <c r="AK53" s="7">
        <f>IF(AI53="",0,IF(EXACT(RIGHT(AI53,2),"dB"),IF(ABS(ABS(VALUE(LEFT(AI53,FIND(" ",AI53,1))))-AJ53)&lt;=0.5,1,-1),-1))</f>
        <v>1</v>
      </c>
      <c r="AL53" s="34">
        <v>1.0947</v>
      </c>
      <c r="AM53" s="35">
        <f>((0.16*(200+K53*10+L53)/(2+K53/10))-0.16*(200+K53*10+L53)/(6+L53/10))/10</f>
        <v>1.0947096774193548</v>
      </c>
      <c r="AN53" s="7">
        <f>IF(AL53="",0,IF(ABS(VALUE(AL53)-AM53)&lt;=0.05,1,-1))</f>
        <v>1</v>
      </c>
      <c r="AO53" s="34" t="s">
        <v>434</v>
      </c>
      <c r="AP53" s="35">
        <f>((0.16*(200+K53*10+L53)/(2+K53/10))-0.16*(200+K53*10+L53)/(6+L53/10))/(10+J53)</f>
        <v>0.99519061583577717</v>
      </c>
      <c r="AQ53" s="7">
        <f>IF(AO53="",0,IF(EXACT(RIGHT(AO53,2),"m2"),IF(ABS(VALUE(LEFT(AO53,FIND(" ",AO53,1)))-AP53)&lt;=0.05,1,-1),-1))</f>
        <v>1</v>
      </c>
      <c r="AR53" s="47">
        <f>M53+P53+S53+V53+Y53+AB53+AE53+AH53+AK53+AN53+AQ53</f>
        <v>8</v>
      </c>
    </row>
    <row r="54" spans="1:44" ht="12.75" x14ac:dyDescent="0.2">
      <c r="A54" s="50">
        <v>52</v>
      </c>
      <c r="B54" s="33">
        <v>41950.772320810182</v>
      </c>
      <c r="C54" s="34" t="s">
        <v>828</v>
      </c>
      <c r="D54" s="34" t="s">
        <v>829</v>
      </c>
      <c r="E54" s="17">
        <v>240912</v>
      </c>
      <c r="F54" s="6">
        <v>1</v>
      </c>
      <c r="G54" s="6">
        <f>INT(E54/100000)</f>
        <v>2</v>
      </c>
      <c r="H54" s="6">
        <f>INT(($E54-100000*G54)/10000)</f>
        <v>4</v>
      </c>
      <c r="I54" s="6">
        <f>INT(($E54-100000*G54-10000*H54)/1000)</f>
        <v>0</v>
      </c>
      <c r="J54" s="6">
        <f>INT(($E54-100000*$G54-10000*$H54-1000*$I54)/100)</f>
        <v>9</v>
      </c>
      <c r="K54" s="6">
        <f>INT(($E54-100000*$G54-10000*$H54-1000*$I54-100*$J54)/10)</f>
        <v>1</v>
      </c>
      <c r="L54" s="6">
        <f>INT(($E54-100000*$G54-10000*$H54-1000*$I54-100*$J54-10*$K54))</f>
        <v>2</v>
      </c>
      <c r="M54" s="7">
        <v>2</v>
      </c>
      <c r="N54" s="18"/>
      <c r="O54" s="76">
        <f>10*LOG10((10^((100+10*LOG10(1/(4*PI()*(3+J54/2)^2)))/10)+10^((100-3+10*LOG10(1/(4*PI()*(3+J54/2)^2)))/10))/10^((100+10*LOG10(4*(1+L54/10)/(0.16*(2000+K54*100))))/10))</f>
        <v>-8.2779948835475334</v>
      </c>
      <c r="P54" s="7">
        <f>IF(N54="",0,IF(EXACT(RIGHT(N54,2),"dB"),IF(ABS(VALUE(LEFT(N54,FIND(" ",N54,1)))-O54)&lt;=0.5,1,-1),-1))</f>
        <v>0</v>
      </c>
      <c r="Q54" s="34">
        <v>0.223</v>
      </c>
      <c r="R54" s="35">
        <f>(10^((100-3+10*LOG10(1/(4*PI()*(3+J54/2)^2)))/10)*COS((90-(30+L54*6))/180*PI()))/(10^((100+10*LOG10(1/(4*PI()*(3+J54/2)^2)))/10)+10^((100-3+10*LOG10(1/(4*PI()*(3+J54/2)^2)))/10))</f>
        <v>0.22339632926801301</v>
      </c>
      <c r="S54" s="7">
        <f>IF(Q54="",0,IF(ABS(VALUE(Q54)-R54)&lt;=0.05,1,-1))</f>
        <v>1</v>
      </c>
      <c r="T54" s="18"/>
      <c r="U54" s="76">
        <f>10*LOG10(10^((100+10*LOG10(1/(4*PI()*(3+J54/2)^2)))/10)+10^((100-3+10*LOG10(1/(4*PI()*(3+J54/2)^2)))/10)+10^((100+10*LOG10(4*(1+L54/10)/(0.16*(2000+K54*100))))/10))-100+31</f>
        <v>13.150942839177773</v>
      </c>
      <c r="V54" s="7">
        <f>IF(T54="",0,IF(EXACT(RIGHT(T54,2),"dB"),IF(ABS(VALUE(LEFT(T54,FIND(" ",T54,1)))-U54)&lt;=0.5,1,-1),-1))</f>
        <v>0</v>
      </c>
      <c r="W54" s="58">
        <v>0.47899999999999998</v>
      </c>
      <c r="X54" s="35">
        <f>(0.5+L54/20)/(1+10^(-(5+K54)/10))</f>
        <v>0.47954399465213893</v>
      </c>
      <c r="Y54" s="7">
        <f>IF(W54="",0,IF(ABS(VALUE(W54)-X54)&lt;=0.05,1,-1))</f>
        <v>1</v>
      </c>
      <c r="Z54" s="34" t="s">
        <v>830</v>
      </c>
      <c r="AA54" s="76">
        <f>10*LOG10(1+((100+K54*10+L54)*(0.5+J54/20))/((0.1+J54/100)*(6*(5+L54/2)^2)))</f>
        <v>5.5540797010725749</v>
      </c>
      <c r="AB54" s="7">
        <f>IF(Z54="",0,IF(EXACT(RIGHT(Z54,2),"dB"),IF(ABS(VALUE(LEFT(Z54,FIND(" ",Z54,1)))-AA54)&lt;=0.5,1,-1),-1))</f>
        <v>1</v>
      </c>
      <c r="AC54" s="34">
        <v>0.46700000000000003</v>
      </c>
      <c r="AD54" s="35">
        <f>0.3+L54/30+0.1</f>
        <v>0.46666666666666667</v>
      </c>
      <c r="AE54" s="7">
        <f>IF(AC54="",0,IF(ABS(VALUE(AC54)-AD54)&lt;=0.05,1,-1))</f>
        <v>1</v>
      </c>
      <c r="AF54" s="34">
        <v>0.53300000000000003</v>
      </c>
      <c r="AG54" s="35">
        <f>1-AD54</f>
        <v>0.53333333333333333</v>
      </c>
      <c r="AH54" s="7">
        <f>IF(AF54="",0,IF(ABS(VALUE(AF54)-AG54)&lt;=0.05,1,-1))</f>
        <v>1</v>
      </c>
      <c r="AI54" s="18"/>
      <c r="AJ54" s="76">
        <f>-10*LOG10(1-(0.3+K54/20))</f>
        <v>1.8708664335714442</v>
      </c>
      <c r="AK54" s="7">
        <f>IF(AI54="",0,IF(EXACT(RIGHT(AI54,2),"dB"),IF(ABS(ABS(VALUE(LEFT(AI54,FIND(" ",AI54,1))))-AJ54)&lt;=0.5,1,-1),-1))</f>
        <v>0</v>
      </c>
      <c r="AL54" s="34">
        <v>1.0680000000000001</v>
      </c>
      <c r="AM54" s="35">
        <f>((0.16*(200+K54*10+L54)/(2+K54/10))-0.16*(200+K54*10+L54)/(6+L54/10))/10</f>
        <v>1.0681413210445467</v>
      </c>
      <c r="AN54" s="7">
        <f>IF(AL54="",0,IF(ABS(VALUE(AL54)-AM54)&lt;=0.05,1,-1))</f>
        <v>1</v>
      </c>
      <c r="AO54" s="18"/>
      <c r="AP54" s="35">
        <f>((0.16*(200+K54*10+L54)/(2+K54/10))-0.16*(200+K54*10+L54)/(6+L54/10))/(10+J54)</f>
        <v>0.56217964265502463</v>
      </c>
      <c r="AQ54" s="7">
        <f>IF(AO54="",0,IF(EXACT(RIGHT(AO54,2),"m2"),IF(ABS(VALUE(LEFT(AO54,FIND(" ",AO54,1)))-AP54)&lt;=0.05,1,-1),-1))</f>
        <v>0</v>
      </c>
      <c r="AR54" s="47">
        <f>M54+P54+S54+V54+Y54+AB54+AE54+AH54+AK54+AN54+AQ54</f>
        <v>8</v>
      </c>
    </row>
    <row r="55" spans="1:44" ht="12.75" x14ac:dyDescent="0.2">
      <c r="A55" s="50">
        <v>53</v>
      </c>
      <c r="B55" s="33">
        <v>41950.773461157405</v>
      </c>
      <c r="C55" s="34" t="s">
        <v>852</v>
      </c>
      <c r="D55" s="34" t="s">
        <v>853</v>
      </c>
      <c r="E55" s="17">
        <v>239465</v>
      </c>
      <c r="F55" s="6">
        <v>1</v>
      </c>
      <c r="G55" s="6">
        <f>INT(E55/100000)</f>
        <v>2</v>
      </c>
      <c r="H55" s="6">
        <f>INT(($E55-100000*G55)/10000)</f>
        <v>3</v>
      </c>
      <c r="I55" s="6">
        <f>INT(($E55-100000*G55-10000*H55)/1000)</f>
        <v>9</v>
      </c>
      <c r="J55" s="6">
        <f>INT(($E55-100000*$G55-10000*$H55-1000*$I55)/100)</f>
        <v>4</v>
      </c>
      <c r="K55" s="6">
        <f>INT(($E55-100000*$G55-10000*$H55-1000*$I55-100*$J55)/10)</f>
        <v>6</v>
      </c>
      <c r="L55" s="6">
        <f>INT(($E55-100000*$G55-10000*$H55-1000*$I55-100*$J55-10*$K55))</f>
        <v>5</v>
      </c>
      <c r="M55" s="7">
        <v>2</v>
      </c>
      <c r="N55" s="34" t="s">
        <v>854</v>
      </c>
      <c r="O55" s="76">
        <f>10*LOG10((10^((100+10*LOG10(1/(4*PI()*(3+J55/2)^2)))/10)+10^((100-3+10*LOG10(1/(4*PI()*(3+J55/2)^2)))/10))/10^((100+10*LOG10(4*(1+L55/10)/(0.16*(2000+K55*100))))/10))</f>
        <v>-4.797729300145483</v>
      </c>
      <c r="P55" s="7">
        <f>IF(N55="",0,IF(EXACT(RIGHT(N55,2),"dB"),IF(ABS(VALUE(LEFT(N55,FIND(" ",N55,1)))-O55)&lt;=0.5,1,-1),-1))</f>
        <v>-1</v>
      </c>
      <c r="Q55" s="18"/>
      <c r="R55" s="35">
        <f>(10^((100-3+10*LOG10(1/(4*PI()*(3+J55/2)^2)))/10)*COS((90-(30+L55*6))/180*PI()))/(10^((100+10*LOG10(1/(4*PI()*(3+J55/2)^2)))/10)+10^((100-3+10*LOG10(1/(4*PI()*(3+J55/2)^2)))/10))</f>
        <v>0.28913173963310662</v>
      </c>
      <c r="S55" s="7">
        <f>IF(Q55="",0,IF(ABS(VALUE(Q55)-R55)&lt;=0.05,1,-1))</f>
        <v>0</v>
      </c>
      <c r="T55" s="18"/>
      <c r="U55" s="76">
        <f>10*LOG10(10^((100+10*LOG10(1/(4*PI()*(3+J55/2)^2)))/10)+10^((100-3+10*LOG10(1/(4*PI()*(3+J55/2)^2)))/10)+10^((100+10*LOG10(4*(1+L55/10)/(0.16*(2000+K55*100))))/10))-100+31</f>
        <v>13.833352538420954</v>
      </c>
      <c r="V55" s="7">
        <f>IF(T55="",0,IF(EXACT(RIGHT(T55,2),"dB"),IF(ABS(VALUE(LEFT(T55,FIND(" ",T55,1)))-U55)&lt;=0.5,1,-1),-1))</f>
        <v>0</v>
      </c>
      <c r="W55" s="58">
        <v>0.69479999999999997</v>
      </c>
      <c r="X55" s="35">
        <f>(0.5+L55/20)/(1+10^(-(5+K55)/10))</f>
        <v>0.69480933291181979</v>
      </c>
      <c r="Y55" s="7">
        <f>IF(W55="",0,IF(ABS(VALUE(W55)-X55)&lt;=0.05,1,-1))</f>
        <v>1</v>
      </c>
      <c r="Z55" s="34" t="s">
        <v>856</v>
      </c>
      <c r="AA55" s="76">
        <f>10*LOG10(1+((100+K55*10+L55)*(0.5+J55/20))/((0.1+J55/100)*(6*(5+L55/2)^2)))</f>
        <v>5.3711918439494779</v>
      </c>
      <c r="AB55" s="7">
        <f>IF(Z55="",0,IF(EXACT(RIGHT(Z55,2),"dB"),IF(ABS(VALUE(LEFT(Z55,FIND(" ",Z55,1)))-AA55)&lt;=0.5,1,-1),-1))</f>
        <v>1</v>
      </c>
      <c r="AC55" s="34">
        <v>0.56669999999999998</v>
      </c>
      <c r="AD55" s="35">
        <f>0.3+L55/30+0.1</f>
        <v>0.56666666666666665</v>
      </c>
      <c r="AE55" s="7">
        <f>IF(AC55="",0,IF(ABS(VALUE(AC55)-AD55)&lt;=0.05,1,-1))</f>
        <v>1</v>
      </c>
      <c r="AF55" s="34">
        <v>0.43330000000000002</v>
      </c>
      <c r="AG55" s="35">
        <f>1-AD55</f>
        <v>0.43333333333333335</v>
      </c>
      <c r="AH55" s="7">
        <f>IF(AF55="",0,IF(ABS(VALUE(AF55)-AG55)&lt;=0.05,1,-1))</f>
        <v>1</v>
      </c>
      <c r="AI55" s="34" t="s">
        <v>855</v>
      </c>
      <c r="AJ55" s="76">
        <f>-10*LOG10(1-(0.3+K55/20))</f>
        <v>3.9794000867203758</v>
      </c>
      <c r="AK55" s="7">
        <f>IF(AI55="",0,IF(EXACT(RIGHT(AI55,2),"dB"),IF(ABS(ABS(VALUE(LEFT(AI55,FIND(" ",AI55,1))))-AJ55)&lt;=0.5,1,-1),-1))</f>
        <v>1</v>
      </c>
      <c r="AL55" s="34">
        <v>0.97850000000000004</v>
      </c>
      <c r="AM55" s="35">
        <f>((0.16*(200+K55*10+L55)/(2+K55/10))-0.16*(200+K55*10+L55)/(6+L55/10))/10</f>
        <v>0.97846153846153838</v>
      </c>
      <c r="AN55" s="7">
        <f>IF(AL55="",0,IF(ABS(VALUE(AL55)-AM55)&lt;=0.05,1,-1))</f>
        <v>1</v>
      </c>
      <c r="AO55" s="34" t="s">
        <v>857</v>
      </c>
      <c r="AP55" s="35">
        <f>((0.16*(200+K55*10+L55)/(2+K55/10))-0.16*(200+K55*10+L55)/(6+L55/10))/(10+J55)</f>
        <v>0.69890109890109886</v>
      </c>
      <c r="AQ55" s="7">
        <f>IF(AO55="",0,IF(EXACT(RIGHT(AO55,2),"m2"),IF(ABS(VALUE(LEFT(AO55,FIND(" ",AO55,1)))-AP55)&lt;=0.05,1,-1),-1))</f>
        <v>1</v>
      </c>
      <c r="AR55" s="47">
        <f>M55+P55+S55+V55+Y55+AB55+AE55+AH55+AK55+AN55+AQ55</f>
        <v>8</v>
      </c>
    </row>
    <row r="56" spans="1:44" ht="12.75" x14ac:dyDescent="0.2">
      <c r="A56" s="50">
        <v>54</v>
      </c>
      <c r="B56" s="33">
        <v>41950.774744756942</v>
      </c>
      <c r="C56" s="34" t="s">
        <v>864</v>
      </c>
      <c r="D56" s="34" t="s">
        <v>865</v>
      </c>
      <c r="E56" s="17">
        <v>245117</v>
      </c>
      <c r="F56" s="6">
        <v>1</v>
      </c>
      <c r="G56" s="6">
        <f>INT(E56/100000)</f>
        <v>2</v>
      </c>
      <c r="H56" s="6">
        <f>INT(($E56-100000*G56)/10000)</f>
        <v>4</v>
      </c>
      <c r="I56" s="6">
        <f>INT(($E56-100000*G56-10000*H56)/1000)</f>
        <v>5</v>
      </c>
      <c r="J56" s="6">
        <f>INT(($E56-100000*$G56-10000*$H56-1000*$I56)/100)</f>
        <v>1</v>
      </c>
      <c r="K56" s="6">
        <f>INT(($E56-100000*$G56-10000*$H56-1000*$I56-100*$J56)/10)</f>
        <v>1</v>
      </c>
      <c r="L56" s="6">
        <f>INT(($E56-100000*$G56-10000*$H56-1000*$I56-100*$J56-10*$K56))</f>
        <v>7</v>
      </c>
      <c r="M56" s="7">
        <v>2</v>
      </c>
      <c r="N56" s="18"/>
      <c r="O56" s="76">
        <f>10*LOG10((10^((100+10*LOG10(1/(4*PI()*(3+J56/2)^2)))/10)+10^((100-3+10*LOG10(1/(4*PI()*(3+J56/2)^2)))/10))/10^((100+10*LOG10(4*(1+L56/10)/(0.16*(2000+K56*100))))/10))</f>
        <v>-3.1708072560255425</v>
      </c>
      <c r="P56" s="7">
        <f>IF(N56="",0,IF(EXACT(RIGHT(N56,2),"dB"),IF(ABS(VALUE(LEFT(N56,FIND(" ",N56,1)))-O56)&lt;=0.5,1,-1),-1))</f>
        <v>0</v>
      </c>
      <c r="Q56" s="34">
        <v>0.317</v>
      </c>
      <c r="R56" s="35">
        <f>(10^((100-3+10*LOG10(1/(4*PI()*(3+J56/2)^2)))/10)*COS((90-(30+L56*6))/180*PI()))/(10^((100+10*LOG10(1/(4*PI()*(3+J56/2)^2)))/10)+10^((100-3+10*LOG10(1/(4*PI()*(3+J56/2)^2)))/10))</f>
        <v>0.31752027578427117</v>
      </c>
      <c r="S56" s="7">
        <f>IF(Q56="",0,IF(ABS(VALUE(Q56)-R56)&lt;=0.05,1,-1))</f>
        <v>1</v>
      </c>
      <c r="T56" s="18"/>
      <c r="U56" s="76">
        <f>10*LOG10(10^((100+10*LOG10(1/(4*PI()*(3+J56/2)^2)))/10)+10^((100-3+10*LOG10(1/(4*PI()*(3+J56/2)^2)))/10)+10^((100+10*LOG10(4*(1+L56/10)/(0.16*(2000+K56*100))))/10))-100+31</f>
        <v>15.769762896617777</v>
      </c>
      <c r="V56" s="7">
        <f>IF(T56="",0,IF(EXACT(RIGHT(T56,2),"dB"),IF(ABS(VALUE(LEFT(T56,FIND(" ",T56,1)))-U56)&lt;=0.5,1,-1),-1))</f>
        <v>0</v>
      </c>
      <c r="W56" s="58">
        <v>0.67900000000000005</v>
      </c>
      <c r="X56" s="35">
        <f>(0.5+L56/20)/(1+10^(-(5+K56)/10))</f>
        <v>0.67935399242386352</v>
      </c>
      <c r="Y56" s="7">
        <f>IF(W56="",0,IF(ABS(VALUE(W56)-X56)&lt;=0.05,1,-1))</f>
        <v>1</v>
      </c>
      <c r="Z56" s="34" t="s">
        <v>866</v>
      </c>
      <c r="AA56" s="76">
        <f>10*LOG10(1+((100+K56*10+L56)*(0.5+J56/20))/((0.1+J56/100)*(6*(5+L56/2)^2)))</f>
        <v>3.7097193152395382</v>
      </c>
      <c r="AB56" s="7">
        <f>IF(Z56="",0,IF(EXACT(RIGHT(Z56,2),"dB"),IF(ABS(VALUE(LEFT(Z56,FIND(" ",Z56,1)))-AA56)&lt;=0.5,1,-1),-1))</f>
        <v>1</v>
      </c>
      <c r="AC56" s="34">
        <v>0.63300000000000001</v>
      </c>
      <c r="AD56" s="35">
        <f>0.3+L56/30+0.1</f>
        <v>0.6333333333333333</v>
      </c>
      <c r="AE56" s="7">
        <f>IF(AC56="",0,IF(ABS(VALUE(AC56)-AD56)&lt;=0.05,1,-1))</f>
        <v>1</v>
      </c>
      <c r="AF56" s="34">
        <v>0.36599999999999999</v>
      </c>
      <c r="AG56" s="35">
        <f>1-AD56</f>
        <v>0.3666666666666667</v>
      </c>
      <c r="AH56" s="7">
        <f>IF(AF56="",0,IF(ABS(VALUE(AF56)-AG56)&lt;=0.05,1,-1))</f>
        <v>1</v>
      </c>
      <c r="AI56" s="18"/>
      <c r="AJ56" s="76">
        <f>-10*LOG10(1-(0.3+K56/20))</f>
        <v>1.8708664335714442</v>
      </c>
      <c r="AK56" s="7">
        <f>IF(AI56="",0,IF(EXACT(RIGHT(AI56,2),"dB"),IF(ABS(ABS(VALUE(LEFT(AI56,FIND(" ",AI56,1))))-AJ56)&lt;=0.5,1,-1),-1))</f>
        <v>0</v>
      </c>
      <c r="AL56" s="34">
        <v>1.135</v>
      </c>
      <c r="AM56" s="35">
        <f>((0.16*(200+K56*10+L56)/(2+K56/10))-0.16*(200+K56*10+L56)/(6+L56/10))/10</f>
        <v>1.1351243781094527</v>
      </c>
      <c r="AN56" s="7">
        <f>IF(AL56="",0,IF(ABS(VALUE(AL56)-AM56)&lt;=0.05,1,-1))</f>
        <v>1</v>
      </c>
      <c r="AO56" s="18"/>
      <c r="AP56" s="35">
        <f>((0.16*(200+K56*10+L56)/(2+K56/10))-0.16*(200+K56*10+L56)/(6+L56/10))/(10+J56)</f>
        <v>1.031931252826775</v>
      </c>
      <c r="AQ56" s="7">
        <f>IF(AO56="",0,IF(EXACT(RIGHT(AO56,2),"m2"),IF(ABS(VALUE(LEFT(AO56,FIND(" ",AO56,1)))-AP56)&lt;=0.05,1,-1),-1))</f>
        <v>0</v>
      </c>
      <c r="AR56" s="47">
        <f>M56+P56+S56+V56+Y56+AB56+AE56+AH56+AK56+AN56+AQ56</f>
        <v>8</v>
      </c>
    </row>
    <row r="57" spans="1:44" ht="12.75" x14ac:dyDescent="0.2">
      <c r="A57" s="50">
        <v>55</v>
      </c>
      <c r="B57" s="33">
        <v>41950.774903831014</v>
      </c>
      <c r="C57" s="34" t="s">
        <v>867</v>
      </c>
      <c r="D57" s="34" t="s">
        <v>868</v>
      </c>
      <c r="E57" s="17">
        <v>244166</v>
      </c>
      <c r="F57" s="6">
        <v>1</v>
      </c>
      <c r="G57" s="6">
        <f>INT(E57/100000)</f>
        <v>2</v>
      </c>
      <c r="H57" s="6">
        <f>INT(($E57-100000*G57)/10000)</f>
        <v>4</v>
      </c>
      <c r="I57" s="6">
        <f>INT(($E57-100000*G57-10000*H57)/1000)</f>
        <v>4</v>
      </c>
      <c r="J57" s="6">
        <f>INT(($E57-100000*$G57-10000*$H57-1000*$I57)/100)</f>
        <v>1</v>
      </c>
      <c r="K57" s="6">
        <f>INT(($E57-100000*$G57-10000*$H57-1000*$I57-100*$J57)/10)</f>
        <v>6</v>
      </c>
      <c r="L57" s="6">
        <f>INT(($E57-100000*$G57-10000*$H57-1000*$I57-100*$J57-10*$K57))</f>
        <v>6</v>
      </c>
      <c r="M57" s="7">
        <v>2</v>
      </c>
      <c r="N57" s="18"/>
      <c r="O57" s="76">
        <f>10*LOG10((10^((100+10*LOG10(1/(4*PI()*(3+J57/2)^2)))/10)+10^((100-3+10*LOG10(1/(4*PI()*(3+J57/2)^2)))/10))/10^((100+10*LOG10(4*(1+L57/10)/(0.16*(2000+K57*100))))/10))</f>
        <v>-1.9799773364330608</v>
      </c>
      <c r="P57" s="7">
        <f>IF(N57="",0,IF(EXACT(RIGHT(N57,2),"dB"),IF(ABS(VALUE(LEFT(N57,FIND(" ",N57,1)))-O57)&lt;=0.5,1,-1),-1))</f>
        <v>0</v>
      </c>
      <c r="Q57" s="34">
        <v>0.3049</v>
      </c>
      <c r="R57" s="35">
        <f>(10^((100-3+10*LOG10(1/(4*PI()*(3+J57/2)^2)))/10)*COS((90-(30+L57*6))/180*PI()))/(10^((100+10*LOG10(1/(4*PI()*(3+J57/2)^2)))/10)+10^((100-3+10*LOG10(1/(4*PI()*(3+J57/2)^2)))/10))</f>
        <v>0.30499681215803365</v>
      </c>
      <c r="S57" s="7">
        <f>IF(Q57="",0,IF(ABS(VALUE(Q57)-R57)&lt;=0.05,1,-1))</f>
        <v>1</v>
      </c>
      <c r="T57" s="18"/>
      <c r="U57" s="76">
        <f>10*LOG10(10^((100+10*LOG10(1/(4*PI()*(3+J57/2)^2)))/10)+10^((100-3+10*LOG10(1/(4*PI()*(3+J57/2)^2)))/10)+10^((100+10*LOG10(4*(1+L57/10)/(0.16*(2000+K57*100))))/10))-100+31</f>
        <v>15.003049444847179</v>
      </c>
      <c r="V57" s="7">
        <f>IF(T57="",0,IF(EXACT(RIGHT(T57,2),"dB"),IF(ABS(VALUE(LEFT(T57,FIND(" ",T57,1)))-U57)&lt;=0.5,1,-1),-1))</f>
        <v>0</v>
      </c>
      <c r="W57" s="58">
        <v>0.74109999999999998</v>
      </c>
      <c r="X57" s="35">
        <f>(0.5+L57/20)/(1+10^(-(5+K57)/10))</f>
        <v>0.74112995510594115</v>
      </c>
      <c r="Y57" s="7">
        <f>IF(W57="",0,IF(ABS(VALUE(W57)-X57)&lt;=0.05,1,-1))</f>
        <v>1</v>
      </c>
      <c r="Z57" s="34" t="s">
        <v>870</v>
      </c>
      <c r="AA57" s="76">
        <f>10*LOG10(1+((100+K57*10+L57)*(0.5+J57/20))/((0.1+J57/100)*(6*(5+L57/2)^2)))</f>
        <v>4.9988746237170805</v>
      </c>
      <c r="AB57" s="7">
        <f>IF(Z57="",0,IF(EXACT(RIGHT(Z57,2),"dB"),IF(ABS(VALUE(LEFT(Z57,FIND(" ",Z57,1)))-AA57)&lt;=0.5,1,-1),-1))</f>
        <v>1</v>
      </c>
      <c r="AC57" s="34">
        <v>0.6</v>
      </c>
      <c r="AD57" s="35">
        <f>0.3+L57/30+0.1</f>
        <v>0.6</v>
      </c>
      <c r="AE57" s="7">
        <f>IF(AC57="",0,IF(ABS(VALUE(AC57)-AD57)&lt;=0.05,1,-1))</f>
        <v>1</v>
      </c>
      <c r="AF57" s="34">
        <v>0.4</v>
      </c>
      <c r="AG57" s="35">
        <f>1-AD57</f>
        <v>0.4</v>
      </c>
      <c r="AH57" s="7">
        <f>IF(AF57="",0,IF(ABS(VALUE(AF57)-AG57)&lt;=0.05,1,-1))</f>
        <v>1</v>
      </c>
      <c r="AI57" s="36" t="s">
        <v>869</v>
      </c>
      <c r="AJ57" s="76">
        <f>-10*LOG10(1-(0.3+K57/20))</f>
        <v>3.9794000867203758</v>
      </c>
      <c r="AK57" s="7">
        <f>IF(AI57="",0,IF(EXACT(RIGHT(AI57,2),"dB"),IF(ABS(ABS(VALUE(LEFT(AI57,FIND(" ",AI57,1))))-AJ57)&lt;=0.5,1,-1),-1))</f>
        <v>1</v>
      </c>
      <c r="AL57" s="34">
        <v>0.99199999999999999</v>
      </c>
      <c r="AM57" s="35">
        <f>((0.16*(200+K57*10+L57)/(2+K57/10))-0.16*(200+K57*10+L57)/(6+L57/10))/10</f>
        <v>0.99207459207459192</v>
      </c>
      <c r="AN57" s="7">
        <f>IF(AL57="",0,IF(ABS(VALUE(AL57)-AM57)&lt;=0.05,1,-1))</f>
        <v>1</v>
      </c>
      <c r="AO57" s="34" t="s">
        <v>871</v>
      </c>
      <c r="AP57" s="35">
        <f>((0.16*(200+K57*10+L57)/(2+K57/10))-0.16*(200+K57*10+L57)/(6+L57/10))/(10+J57)</f>
        <v>0.90188599279508352</v>
      </c>
      <c r="AQ57" s="7">
        <f>IF(AO57="",0,IF(EXACT(RIGHT(AO57,2),"m2"),IF(ABS(VALUE(LEFT(AO57,FIND(" ",AO57,1)))-AP57)&lt;=0.05,1,-1),-1))</f>
        <v>-1</v>
      </c>
      <c r="AR57" s="47">
        <f>M57+P57+S57+V57+Y57+AB57+AE57+AH57+AK57+AN57+AQ57</f>
        <v>8</v>
      </c>
    </row>
    <row r="58" spans="1:44" ht="12.75" x14ac:dyDescent="0.2">
      <c r="A58" s="50">
        <v>56</v>
      </c>
      <c r="B58" s="33">
        <v>41950.77495042824</v>
      </c>
      <c r="C58" s="34" t="s">
        <v>878</v>
      </c>
      <c r="D58" s="34" t="s">
        <v>879</v>
      </c>
      <c r="E58" s="17">
        <v>240892</v>
      </c>
      <c r="F58" s="6">
        <v>1</v>
      </c>
      <c r="G58" s="6">
        <f>INT(E58/100000)</f>
        <v>2</v>
      </c>
      <c r="H58" s="6">
        <f>INT(($E58-100000*G58)/10000)</f>
        <v>4</v>
      </c>
      <c r="I58" s="6">
        <f>INT(($E58-100000*G58-10000*H58)/1000)</f>
        <v>0</v>
      </c>
      <c r="J58" s="6">
        <f>INT(($E58-100000*$G58-10000*$H58-1000*$I58)/100)</f>
        <v>8</v>
      </c>
      <c r="K58" s="6">
        <f>INT(($E58-100000*$G58-10000*$H58-1000*$I58-100*$J58)/10)</f>
        <v>9</v>
      </c>
      <c r="L58" s="6">
        <f>INT(($E58-100000*$G58-10000*$H58-1000*$I58-100*$J58-10*$K58))</f>
        <v>2</v>
      </c>
      <c r="M58" s="7">
        <v>2</v>
      </c>
      <c r="N58" s="34" t="s">
        <v>880</v>
      </c>
      <c r="O58" s="76">
        <f>10*LOG10((10^((100+10*LOG10(1/(4*PI()*(3+J58/2)^2)))/10)+10^((100-3+10*LOG10(1/(4*PI()*(3+J58/2)^2)))/10))/10^((100+10*LOG10(4*(1+L58/10)/(0.16*(2000+K58*100))))/10))</f>
        <v>-6.2769433843482965</v>
      </c>
      <c r="P58" s="7">
        <f>IF(N58="",0,IF(EXACT(RIGHT(N58,2),"dB"),IF(ABS(VALUE(LEFT(N58,FIND(" ",N58,1)))-O58)&lt;=0.5,1,-1),-1))</f>
        <v>1</v>
      </c>
      <c r="Q58" s="18"/>
      <c r="R58" s="35">
        <f>(10^((100-3+10*LOG10(1/(4*PI()*(3+J58/2)^2)))/10)*COS((90-(30+L58*6))/180*PI()))/(10^((100+10*LOG10(1/(4*PI()*(3+J58/2)^2)))/10)+10^((100-3+10*LOG10(1/(4*PI()*(3+J58/2)^2)))/10))</f>
        <v>0.22339632926801273</v>
      </c>
      <c r="S58" s="7">
        <f>IF(Q58="",0,IF(ABS(VALUE(Q58)-R58)&lt;=0.05,1,-1))</f>
        <v>0</v>
      </c>
      <c r="T58" s="18"/>
      <c r="U58" s="76">
        <f>10*LOG10(10^((100+10*LOG10(1/(4*PI()*(3+J58/2)^2)))/10)+10^((100-3+10*LOG10(1/(4*PI()*(3+J58/2)^2)))/10)+10^((100+10*LOG10(4*(1+L58/10)/(0.16*(2000+K58*100))))/10))-100+31</f>
        <v>12.06626019017051</v>
      </c>
      <c r="V58" s="7">
        <f>IF(T58="",0,IF(EXACT(RIGHT(T58,2),"dB"),IF(ABS(VALUE(LEFT(T58,FIND(" ",T58,1)))-U58)&lt;=0.5,1,-1),-1))</f>
        <v>0</v>
      </c>
      <c r="W58" s="58">
        <v>0.57699999999999996</v>
      </c>
      <c r="X58" s="35">
        <f>(0.5+L58/20)/(1+10^(-(5+K58)/10))</f>
        <v>0.57702809767064722</v>
      </c>
      <c r="Y58" s="7">
        <f>IF(W58="",0,IF(ABS(VALUE(W58)-X58)&lt;=0.05,1,-1))</f>
        <v>1</v>
      </c>
      <c r="Z58" s="34" t="s">
        <v>882</v>
      </c>
      <c r="AA58" s="76">
        <f>10*LOG10(1+((100+K58*10+L58)*(0.5+J58/20))/((0.1+J58/100)*(6*(5+L58/2)^2)))</f>
        <v>7.3595357058918882</v>
      </c>
      <c r="AB58" s="7">
        <f>IF(Z58="",0,IF(EXACT(RIGHT(Z58,2),"dB"),IF(ABS(VALUE(LEFT(Z58,FIND(" ",Z58,1)))-AA58)&lt;=0.5,1,-1),-1))</f>
        <v>-1</v>
      </c>
      <c r="AC58" s="34">
        <v>0.47</v>
      </c>
      <c r="AD58" s="35">
        <f>0.3+L58/30+0.1</f>
        <v>0.46666666666666667</v>
      </c>
      <c r="AE58" s="7">
        <f>IF(AC58="",0,IF(ABS(VALUE(AC58)-AD58)&lt;=0.05,1,-1))</f>
        <v>1</v>
      </c>
      <c r="AF58" s="34">
        <v>0.53300000000000003</v>
      </c>
      <c r="AG58" s="35">
        <f>1-AD58</f>
        <v>0.53333333333333333</v>
      </c>
      <c r="AH58" s="7">
        <f>IF(AF58="",0,IF(ABS(VALUE(AF58)-AG58)&lt;=0.05,1,-1))</f>
        <v>1</v>
      </c>
      <c r="AI58" s="73" t="s">
        <v>881</v>
      </c>
      <c r="AJ58" s="76">
        <f>-10*LOG10(1-(0.3+K58/20))</f>
        <v>6.0205999132796242</v>
      </c>
      <c r="AK58" s="7">
        <f>IF(AI58="",0,IF(EXACT(RIGHT(AI58,2),"dB"),IF(ABS(ABS(VALUE(LEFT(AI58,FIND(" ",AI58,1))))-AJ58)&lt;=0.5,1,-1),-1))</f>
        <v>1</v>
      </c>
      <c r="AL58" s="34">
        <v>0.85699999999999998</v>
      </c>
      <c r="AM58" s="35">
        <f>((0.16*(200+K58*10+L58)/(2+K58/10))-0.16*(200+K58*10+L58)/(6+L58/10))/10</f>
        <v>0.85748609566184653</v>
      </c>
      <c r="AN58" s="7">
        <f>IF(AL58="",0,IF(ABS(VALUE(AL58)-AM58)&lt;=0.05,1,-1))</f>
        <v>1</v>
      </c>
      <c r="AO58" s="34" t="s">
        <v>883</v>
      </c>
      <c r="AP58" s="35">
        <f>((0.16*(200+K58*10+L58)/(2+K58/10))-0.16*(200+K58*10+L58)/(6+L58/10))/(10+J58)</f>
        <v>0.47638116425658139</v>
      </c>
      <c r="AQ58" s="7">
        <f>IF(AO58="",0,IF(EXACT(RIGHT(AO58,2),"m2"),IF(ABS(VALUE(LEFT(AO58,FIND(" ",AO58,1)))-AP58)&lt;=0.05,1,-1),-1))</f>
        <v>1</v>
      </c>
      <c r="AR58" s="47">
        <f>M58+P58+S58+V58+Y58+AB58+AE58+AH58+AK58+AN58+AQ58</f>
        <v>8</v>
      </c>
    </row>
    <row r="59" spans="1:44" ht="12.75" x14ac:dyDescent="0.2">
      <c r="A59" s="50">
        <v>57</v>
      </c>
      <c r="B59" s="33">
        <v>41950.756304513889</v>
      </c>
      <c r="C59" s="34" t="s">
        <v>29</v>
      </c>
      <c r="D59" s="34" t="s">
        <v>30</v>
      </c>
      <c r="E59" s="17">
        <v>242673</v>
      </c>
      <c r="F59" s="6">
        <v>1</v>
      </c>
      <c r="G59" s="6">
        <f>INT(E59/100000)</f>
        <v>2</v>
      </c>
      <c r="H59" s="6">
        <f>INT(($E59-100000*G59)/10000)</f>
        <v>4</v>
      </c>
      <c r="I59" s="6">
        <f>INT(($E59-100000*G59-10000*H59)/1000)</f>
        <v>2</v>
      </c>
      <c r="J59" s="6">
        <f>INT(($E59-100000*$G59-10000*$H59-1000*$I59)/100)</f>
        <v>6</v>
      </c>
      <c r="K59" s="6">
        <f>INT(($E59-100000*$G59-10000*$H59-1000*$I59-100*$J59)/10)</f>
        <v>7</v>
      </c>
      <c r="L59" s="6">
        <f>INT(($E59-100000*$G59-10000*$H59-1000*$I59-100*$J59-10*$K59))</f>
        <v>3</v>
      </c>
      <c r="M59" s="7">
        <v>2</v>
      </c>
      <c r="N59" s="18"/>
      <c r="O59" s="76">
        <f>10*LOG10((10^((100+10*LOG10(1/(4*PI()*(3+J59/2)^2)))/10)+10^((100-3+10*LOG10(1/(4*PI()*(3+J59/2)^2)))/10))/10^((100+10*LOG10(4*(1+L59/10)/(0.16*(2000+K59*100))))/10))</f>
        <v>-5.5959709917278557</v>
      </c>
      <c r="P59" s="7">
        <f>IF(N59="",0,IF(EXACT(RIGHT(N59,2),"dB"),IF(ABS(VALUE(LEFT(N59,FIND(" ",N59,1)))-O59)&lt;=0.5,1,-1),-1))</f>
        <v>0</v>
      </c>
      <c r="Q59" s="18"/>
      <c r="R59" s="35">
        <f>(10^((100-3+10*LOG10(1/(4*PI()*(3+J59/2)^2)))/10)*COS((90-(30+L59*6))/180*PI()))/(10^((100+10*LOG10(1/(4*PI()*(3+J59/2)^2)))/10)+10^((100-3+10*LOG10(1/(4*PI()*(3+J59/2)^2)))/10))</f>
        <v>0.24810675905195861</v>
      </c>
      <c r="S59" s="7">
        <f>IF(Q59="",0,IF(ABS(VALUE(Q59)-R59)&lt;=0.05,1,-1))</f>
        <v>0</v>
      </c>
      <c r="T59" s="18"/>
      <c r="U59" s="76">
        <f>10*LOG10(10^((100+10*LOG10(1/(4*PI()*(3+J59/2)^2)))/10)+10^((100-3+10*LOG10(1/(4*PI()*(3+J59/2)^2)))/10)+10^((100+10*LOG10(4*(1+L59/10)/(0.16*(2000+K59*100))))/10))-100+31</f>
        <v>12.862608337202843</v>
      </c>
      <c r="V59" s="7">
        <f>IF(T59="",0,IF(EXACT(RIGHT(T59,2),"dB"),IF(ABS(VALUE(LEFT(T59,FIND(" ",T59,1)))-U59)&lt;=0.5,1,-1),-1))</f>
        <v>0</v>
      </c>
      <c r="W59" s="58">
        <v>0.61140000000000005</v>
      </c>
      <c r="X59" s="35">
        <f>(0.5+L59/20)/(1+10^(-(5+K59)/10))</f>
        <v>0.61142188698320099</v>
      </c>
      <c r="Y59" s="7">
        <f>IF(W59="",0,IF(ABS(VALUE(W59)-X59)&lt;=0.05,1,-1))</f>
        <v>1</v>
      </c>
      <c r="Z59" s="34" t="s">
        <v>32</v>
      </c>
      <c r="AA59" s="76">
        <f>10*LOG10(1+((100+K59*10+L59)*(0.5+J59/20))/((0.1+J59/100)*(6*(5+L59/2)^2)))</f>
        <v>6.4465802476329372</v>
      </c>
      <c r="AB59" s="7">
        <f>IF(Z59="",0,IF(EXACT(RIGHT(Z59,2),"dB"),IF(ABS(VALUE(LEFT(Z59,FIND(" ",Z59,1)))-AA59)&lt;=0.5,1,-1),-1))</f>
        <v>-1</v>
      </c>
      <c r="AC59" s="34">
        <v>0.5</v>
      </c>
      <c r="AD59" s="35">
        <f>0.3+L59/30+0.1</f>
        <v>0.5</v>
      </c>
      <c r="AE59" s="7">
        <f>IF(AC59="",0,IF(ABS(VALUE(AC59)-AD59)&lt;=0.05,1,-1))</f>
        <v>1</v>
      </c>
      <c r="AF59" s="34">
        <v>0.5</v>
      </c>
      <c r="AG59" s="35">
        <f>1-AD59</f>
        <v>0.5</v>
      </c>
      <c r="AH59" s="7">
        <f>IF(AF59="",0,IF(ABS(VALUE(AF59)-AG59)&lt;=0.05,1,-1))</f>
        <v>1</v>
      </c>
      <c r="AI59" s="34" t="s">
        <v>31</v>
      </c>
      <c r="AJ59" s="76">
        <f>-10*LOG10(1-(0.3+K59/20))</f>
        <v>4.5593195564972424</v>
      </c>
      <c r="AK59" s="7">
        <f>IF(AI59="",0,IF(EXACT(RIGHT(AI59,2),"dB"),IF(ABS(ABS(VALUE(LEFT(AI59,FIND(" ",AI59,1))))-AJ59)&lt;=0.5,1,-1),-1))</f>
        <v>1</v>
      </c>
      <c r="AL59" s="34">
        <v>0.9244</v>
      </c>
      <c r="AM59" s="35">
        <f>((0.16*(200+K59*10+L59)/(2+K59/10))-0.16*(200+K59*10+L59)/(6+L59/10))/10</f>
        <v>0.9244444444444444</v>
      </c>
      <c r="AN59" s="7">
        <f>IF(AL59="",0,IF(ABS(VALUE(AL59)-AM59)&lt;=0.05,1,-1))</f>
        <v>1</v>
      </c>
      <c r="AO59" s="34" t="s">
        <v>33</v>
      </c>
      <c r="AP59" s="35">
        <f>((0.16*(200+K59*10+L59)/(2+K59/10))-0.16*(200+K59*10+L59)/(6+L59/10))/(10+J59)</f>
        <v>0.57777777777777772</v>
      </c>
      <c r="AQ59" s="7">
        <f>IF(AO59="",0,IF(EXACT(RIGHT(AO59,2),"m2"),IF(ABS(VALUE(LEFT(AO59,FIND(" ",AO59,1)))-AP59)&lt;=0.05,1,-1),-1))</f>
        <v>1</v>
      </c>
      <c r="AR59" s="47">
        <f>M59+P59+S59+V59+Y59+AB59+AE59+AH59+AK59+AN59+AQ59</f>
        <v>7</v>
      </c>
    </row>
    <row r="60" spans="1:44" ht="12.75" x14ac:dyDescent="0.2">
      <c r="A60" s="50">
        <v>58</v>
      </c>
      <c r="B60" s="33">
        <v>41950.761558449078</v>
      </c>
      <c r="C60" s="34" t="s">
        <v>90</v>
      </c>
      <c r="D60" s="34" t="s">
        <v>91</v>
      </c>
      <c r="E60" s="17">
        <v>242541</v>
      </c>
      <c r="F60" s="6">
        <v>1</v>
      </c>
      <c r="G60" s="6">
        <f>INT(E60/100000)</f>
        <v>2</v>
      </c>
      <c r="H60" s="6">
        <f>INT(($E60-100000*G60)/10000)</f>
        <v>4</v>
      </c>
      <c r="I60" s="6">
        <f>INT(($E60-100000*G60-10000*H60)/1000)</f>
        <v>2</v>
      </c>
      <c r="J60" s="6">
        <f>INT(($E60-100000*$G60-10000*$H60-1000*$I60)/100)</f>
        <v>5</v>
      </c>
      <c r="K60" s="6">
        <f>INT(($E60-100000*$G60-10000*$H60-1000*$I60-100*$J60)/10)</f>
        <v>4</v>
      </c>
      <c r="L60" s="6">
        <f>INT(($E60-100000*$G60-10000*$H60-1000*$I60-100*$J60-10*$K60))</f>
        <v>1</v>
      </c>
      <c r="M60" s="7">
        <v>2</v>
      </c>
      <c r="N60" s="18"/>
      <c r="O60" s="76">
        <f>10*LOG10((10^((100+10*LOG10(1/(4*PI()*(3+J60/2)^2)))/10)+10^((100-3+10*LOG10(1/(4*PI()*(3+J60/2)^2)))/10))/10^((100+10*LOG10(4*(1+L60/10)/(0.16*(2000+K60*100))))/10))</f>
        <v>-4.6262183269275461</v>
      </c>
      <c r="P60" s="7">
        <f>IF(N60="",0,IF(EXACT(RIGHT(N60,2),"dB"),IF(ABS(VALUE(LEFT(N60,FIND(" ",N60,1)))-O60)&lt;=0.5,1,-1),-1))</f>
        <v>0</v>
      </c>
      <c r="Q60" s="18"/>
      <c r="R60" s="35">
        <f>(10^((100-3+10*LOG10(1/(4*PI()*(3+J60/2)^2)))/10)*COS((90-(30+L60*6))/180*PI()))/(10^((100+10*LOG10(1/(4*PI()*(3+J60/2)^2)))/10)+10^((100-3+10*LOG10(1/(4*PI()*(3+J60/2)^2)))/10))</f>
        <v>0.19623832255191975</v>
      </c>
      <c r="S60" s="7">
        <f>IF(Q60="",0,IF(ABS(VALUE(Q60)-R60)&lt;=0.05,1,-1))</f>
        <v>0</v>
      </c>
      <c r="T60" s="18"/>
      <c r="U60" s="76">
        <f>10*LOG10(10^((100+10*LOG10(1/(4*PI()*(3+J60/2)^2)))/10)+10^((100-3+10*LOG10(1/(4*PI()*(3+J60/2)^2)))/10)+10^((100+10*LOG10(4*(1+L60/10)/(0.16*(2000+K60*100))))/10))-100+31</f>
        <v>12.877306787063048</v>
      </c>
      <c r="V60" s="7">
        <f>IF(T60="",0,IF(EXACT(RIGHT(T60,2),"dB"),IF(ABS(VALUE(LEFT(T60,FIND(" ",T60,1)))-U60)&lt;=0.5,1,-1),-1))</f>
        <v>0</v>
      </c>
      <c r="W60" s="58">
        <v>0.48849999999999999</v>
      </c>
      <c r="X60" s="35">
        <f>(0.5+L60/20)/(1+10^(-(5+K60)/10))</f>
        <v>0.48850132662203571</v>
      </c>
      <c r="Y60" s="7">
        <f>IF(W60="",0,IF(ABS(VALUE(W60)-X60)&lt;=0.05,1,-1))</f>
        <v>1</v>
      </c>
      <c r="Z60" s="34" t="s">
        <v>93</v>
      </c>
      <c r="AA60" s="76">
        <f>10*LOG10(1+((100+K60*10+L60)*(0.5+J60/20))/((0.1+J60/100)*(6*(5+L60/2)^2)))</f>
        <v>6.8880211056480523</v>
      </c>
      <c r="AB60" s="7">
        <f>IF(Z60="",0,IF(EXACT(RIGHT(Z60,2),"dB"),IF(ABS(VALUE(LEFT(Z60,FIND(" ",Z60,1)))-AA60)&lt;=0.5,1,-1),-1))</f>
        <v>-1</v>
      </c>
      <c r="AC60" s="34">
        <v>0.4</v>
      </c>
      <c r="AD60" s="35">
        <f>0.3+L60/30+0.1</f>
        <v>0.43333333333333335</v>
      </c>
      <c r="AE60" s="7">
        <f>IF(AC60="",0,IF(ABS(VALUE(AC60)-AD60)&lt;=0.05,1,-1))</f>
        <v>1</v>
      </c>
      <c r="AF60" s="34">
        <v>0.6</v>
      </c>
      <c r="AG60" s="35">
        <f>1-AD60</f>
        <v>0.56666666666666665</v>
      </c>
      <c r="AH60" s="7">
        <f>IF(AF60="",0,IF(ABS(VALUE(AF60)-AG60)&lt;=0.05,1,-1))</f>
        <v>1</v>
      </c>
      <c r="AI60" s="34" t="s">
        <v>92</v>
      </c>
      <c r="AJ60" s="76">
        <f>-10*LOG10(1-(0.3+K60/20))</f>
        <v>3.0102999566398121</v>
      </c>
      <c r="AK60" s="7">
        <f>IF(AI60="",0,IF(EXACT(RIGHT(AI60,2),"dB"),IF(ABS(ABS(VALUE(LEFT(AI60,FIND(" ",AI60,1))))-AJ60)&lt;=0.5,1,-1),-1))</f>
        <v>1</v>
      </c>
      <c r="AL60" s="34">
        <v>0.97499999999999998</v>
      </c>
      <c r="AM60" s="35">
        <f>((0.16*(200+K60*10+L60)/(2+K60/10))-0.16*(200+K60*10+L60)/(6+L60/10))/10</f>
        <v>0.97453551912568348</v>
      </c>
      <c r="AN60" s="7">
        <f>IF(AL60="",0,IF(ABS(VALUE(AL60)-AM60)&lt;=0.05,1,-1))</f>
        <v>1</v>
      </c>
      <c r="AO60" s="34" t="s">
        <v>94</v>
      </c>
      <c r="AP60" s="35">
        <f>((0.16*(200+K60*10+L60)/(2+K60/10))-0.16*(200+K60*10+L60)/(6+L60/10))/(10+J60)</f>
        <v>0.64969034608378895</v>
      </c>
      <c r="AQ60" s="7">
        <f>IF(AO60="",0,IF(EXACT(RIGHT(AO60,2),"m2"),IF(ABS(VALUE(LEFT(AO60,FIND(" ",AO60,1)))-AP60)&lt;=0.05,1,-1),-1))</f>
        <v>1</v>
      </c>
      <c r="AR60" s="47">
        <f>M60+P60+S60+V60+Y60+AB60+AE60+AH60+AK60+AN60+AQ60</f>
        <v>7</v>
      </c>
    </row>
    <row r="61" spans="1:44" ht="12.75" x14ac:dyDescent="0.2">
      <c r="A61" s="50">
        <v>59</v>
      </c>
      <c r="B61" s="33">
        <v>41950.765310729163</v>
      </c>
      <c r="C61" s="34" t="s">
        <v>85</v>
      </c>
      <c r="D61" s="34" t="s">
        <v>86</v>
      </c>
      <c r="E61" s="17">
        <v>235005</v>
      </c>
      <c r="F61" s="6">
        <v>1</v>
      </c>
      <c r="G61" s="6">
        <f>INT(E61/100000)</f>
        <v>2</v>
      </c>
      <c r="H61" s="6">
        <f>INT(($E61-100000*G61)/10000)</f>
        <v>3</v>
      </c>
      <c r="I61" s="6">
        <f>INT(($E61-100000*G61-10000*H61)/1000)</f>
        <v>5</v>
      </c>
      <c r="J61" s="6">
        <f>INT(($E61-100000*$G61-10000*$H61-1000*$I61)/100)</f>
        <v>0</v>
      </c>
      <c r="K61" s="6">
        <f>INT(($E61-100000*$G61-10000*$H61-1000*$I61-100*$J61)/10)</f>
        <v>0</v>
      </c>
      <c r="L61" s="6">
        <f>INT(($E61-100000*$G61-10000*$H61-1000*$I61-100*$J61-10*$K61))</f>
        <v>5</v>
      </c>
      <c r="M61" s="7">
        <v>2</v>
      </c>
      <c r="N61" s="18"/>
      <c r="O61" s="76">
        <f>10*LOG10((10^((100+10*LOG10(1/(4*PI()*(3+J61/2)^2)))/10)+10^((100-3+10*LOG10(1/(4*PI()*(3+J61/2)^2)))/10))/10^((100+10*LOG10(4*(1+L61/10)/(0.16*(2000+K61*100))))/10))</f>
        <v>-1.5001878308867278</v>
      </c>
      <c r="P61" s="7">
        <f>IF(N61="",0,IF(EXACT(RIGHT(N61,2),"dB"),IF(ABS(VALUE(LEFT(N61,FIND(" ",N61,1)))-O61)&lt;=0.5,1,-1),-1))</f>
        <v>0</v>
      </c>
      <c r="Q61" s="18"/>
      <c r="R61" s="35">
        <f>(10^((100-3+10*LOG10(1/(4*PI()*(3+J61/2)^2)))/10)*COS((90-(30+L61*6))/180*PI()))/(10^((100+10*LOG10(1/(4*PI()*(3+J61/2)^2)))/10)+10^((100-3+10*LOG10(1/(4*PI()*(3+J61/2)^2)))/10))</f>
        <v>0.28913173963310729</v>
      </c>
      <c r="S61" s="7">
        <f>IF(Q61="",0,IF(ABS(VALUE(Q61)-R61)&lt;=0.05,1,-1))</f>
        <v>0</v>
      </c>
      <c r="T61" s="18"/>
      <c r="U61" s="76">
        <f>10*LOG10(10^((100+10*LOG10(1/(4*PI()*(3+J61/2)^2)))/10)+10^((100-3+10*LOG10(1/(4*PI()*(3+J61/2)^2)))/10)+10^((100+10*LOG10(4*(1+L61/10)/(0.16*(2000+K61*100))))/10))-100+31</f>
        <v>16.054675672348253</v>
      </c>
      <c r="V61" s="7">
        <f>IF(T61="",0,IF(EXACT(RIGHT(T61,2),"dB"),IF(ABS(VALUE(LEFT(T61,FIND(" ",T61,1)))-U61)&lt;=0.5,1,-1),-1))</f>
        <v>0</v>
      </c>
      <c r="W61" s="58">
        <v>0.56999999999999995</v>
      </c>
      <c r="X61" s="35">
        <f>(0.5+L61/20)/(1+10^(-(5+K61)/10))</f>
        <v>0.56981019498596841</v>
      </c>
      <c r="Y61" s="7">
        <f>IF(W61="",0,IF(ABS(VALUE(W61)-X61)&lt;=0.05,1,-1))</f>
        <v>1</v>
      </c>
      <c r="Z61" s="34" t="s">
        <v>88</v>
      </c>
      <c r="AA61" s="76">
        <f>10*LOG10(1+((100+K61*10+L61)*(0.5+J61/20))/((0.1+J61/100)*(6*(5+L61/2)^2)))</f>
        <v>4.0748532657826795</v>
      </c>
      <c r="AB61" s="7">
        <f>IF(Z61="",0,IF(EXACT(RIGHT(Z61,2),"dB"),IF(ABS(VALUE(LEFT(Z61,FIND(" ",Z61,1)))-AA61)&lt;=0.5,1,-1),-1))</f>
        <v>1</v>
      </c>
      <c r="AC61" s="34">
        <v>0.56669999999999998</v>
      </c>
      <c r="AD61" s="35">
        <f>0.3+L61/30+0.1</f>
        <v>0.56666666666666665</v>
      </c>
      <c r="AE61" s="7">
        <f>IF(AC61="",0,IF(ABS(VALUE(AC61)-AD61)&lt;=0.05,1,-1))</f>
        <v>1</v>
      </c>
      <c r="AF61" s="34">
        <v>0.43330000000000002</v>
      </c>
      <c r="AG61" s="35">
        <f>1-AD61</f>
        <v>0.43333333333333335</v>
      </c>
      <c r="AH61" s="7">
        <f>IF(AF61="",0,IF(ABS(VALUE(AF61)-AG61)&lt;=0.05,1,-1))</f>
        <v>1</v>
      </c>
      <c r="AI61" s="34" t="s">
        <v>87</v>
      </c>
      <c r="AJ61" s="76">
        <f>-10*LOG10(1-(0.3+K61/20))</f>
        <v>1.5490195998574319</v>
      </c>
      <c r="AK61" s="7">
        <f>IF(AI61="",0,IF(EXACT(RIGHT(AI61,2),"dB"),IF(ABS(ABS(VALUE(LEFT(AI61,FIND(" ",AI61,1))))-AJ61)&lt;=0.5,1,-1),-1))</f>
        <v>-1</v>
      </c>
      <c r="AL61" s="34">
        <v>1.1100000000000001</v>
      </c>
      <c r="AM61" s="35">
        <f>((0.16*(200+K61*10+L61)/(2+K61/10))-0.16*(200+K61*10+L61)/(6+L61/10))/10</f>
        <v>1.1353846153846152</v>
      </c>
      <c r="AN61" s="7">
        <f>IF(AL61="",0,IF(ABS(VALUE(AL61)-AM61)&lt;=0.05,1,-1))</f>
        <v>1</v>
      </c>
      <c r="AO61" s="34" t="s">
        <v>89</v>
      </c>
      <c r="AP61" s="35">
        <f>((0.16*(200+K61*10+L61)/(2+K61/10))-0.16*(200+K61*10+L61)/(6+L61/10))/(10+J61)</f>
        <v>1.1353846153846152</v>
      </c>
      <c r="AQ61" s="7">
        <f>IF(AO61="",0,IF(EXACT(RIGHT(AO61,2),"m2"),IF(ABS(VALUE(LEFT(AO61,FIND(" ",AO61,1)))-AP61)&lt;=0.05,1,-1),-1))</f>
        <v>1</v>
      </c>
      <c r="AR61" s="47">
        <f>M61+P61+S61+V61+Y61+AB61+AE61+AH61+AK61+AN61+AQ61</f>
        <v>7</v>
      </c>
    </row>
    <row r="62" spans="1:44" ht="12.75" x14ac:dyDescent="0.2">
      <c r="A62" s="50">
        <v>60</v>
      </c>
      <c r="B62" s="33">
        <v>41950.765574247685</v>
      </c>
      <c r="C62" s="34" t="s">
        <v>167</v>
      </c>
      <c r="D62" s="34" t="s">
        <v>168</v>
      </c>
      <c r="E62" s="17">
        <v>236572</v>
      </c>
      <c r="F62" s="6">
        <v>1</v>
      </c>
      <c r="G62" s="6">
        <f>INT(E62/100000)</f>
        <v>2</v>
      </c>
      <c r="H62" s="6">
        <f>INT(($E62-100000*G62)/10000)</f>
        <v>3</v>
      </c>
      <c r="I62" s="6">
        <f>INT(($E62-100000*G62-10000*H62)/1000)</f>
        <v>6</v>
      </c>
      <c r="J62" s="6">
        <f>INT(($E62-100000*$G62-10000*$H62-1000*$I62)/100)</f>
        <v>5</v>
      </c>
      <c r="K62" s="6">
        <f>INT(($E62-100000*$G62-10000*$H62-1000*$I62-100*$J62)/10)</f>
        <v>7</v>
      </c>
      <c r="L62" s="6">
        <f>INT(($E62-100000*$G62-10000*$H62-1000*$I62-100*$J62-10*$K62))</f>
        <v>2</v>
      </c>
      <c r="M62" s="7">
        <v>2</v>
      </c>
      <c r="N62" s="18"/>
      <c r="O62" s="76">
        <f>10*LOG10((10^((100+10*LOG10(1/(4*PI()*(3+J62/2)^2)))/10)+10^((100-3+10*LOG10(1/(4*PI()*(3+J62/2)^2)))/10))/10^((100+10*LOG10(4*(1+L62/10)/(0.16*(2000+K62*100))))/10))</f>
        <v>-4.4925787113477273</v>
      </c>
      <c r="P62" s="7">
        <f>IF(N62="",0,IF(EXACT(RIGHT(N62,2),"dB"),IF(ABS(VALUE(LEFT(N62,FIND(" ",N62,1)))-O62)&lt;=0.5,1,-1),-1))</f>
        <v>0</v>
      </c>
      <c r="Q62" s="18"/>
      <c r="R62" s="35">
        <f>(10^((100-3+10*LOG10(1/(4*PI()*(3+J62/2)^2)))/10)*COS((90-(30+L62*6))/180*PI()))/(10^((100+10*LOG10(1/(4*PI()*(3+J62/2)^2)))/10)+10^((100-3+10*LOG10(1/(4*PI()*(3+J62/2)^2)))/10))</f>
        <v>0.22339632926801273</v>
      </c>
      <c r="S62" s="7">
        <f>IF(Q62="",0,IF(ABS(VALUE(Q62)-R62)&lt;=0.05,1,-1))</f>
        <v>0</v>
      </c>
      <c r="T62" s="18"/>
      <c r="U62" s="76">
        <f>10*LOG10(10^((100+10*LOG10(1/(4*PI()*(3+J62/2)^2)))/10)+10^((100-3+10*LOG10(1/(4*PI()*(3+J62/2)^2)))/10)+10^((100+10*LOG10(4*(1+L62/10)/(0.16*(2000+K62*100))))/10))-100+31</f>
        <v>12.778314500128118</v>
      </c>
      <c r="V62" s="7">
        <f>IF(T62="",0,IF(EXACT(RIGHT(T62,2),"dB"),IF(ABS(VALUE(LEFT(T62,FIND(" ",T62,1)))-U62)&lt;=0.5,1,-1),-1))</f>
        <v>0</v>
      </c>
      <c r="W62" s="58">
        <v>0.56430000000000002</v>
      </c>
      <c r="X62" s="35">
        <f>(0.5+L62/20)/(1+10^(-(5+K62)/10))</f>
        <v>0.56438943413833942</v>
      </c>
      <c r="Y62" s="7">
        <f>IF(W62="",0,IF(ABS(VALUE(W62)-X62)&lt;=0.05,1,-1))</f>
        <v>1</v>
      </c>
      <c r="Z62" s="34" t="s">
        <v>170</v>
      </c>
      <c r="AA62" s="76">
        <f>10*LOG10(1+((100+K62*10+L62)*(0.5+J62/20))/((0.1+J62/100)*(6*(5+L62/2)^2)))</f>
        <v>6.9735852017943945</v>
      </c>
      <c r="AB62" s="7">
        <f>IF(Z62="",0,IF(EXACT(RIGHT(Z62,2),"dB"),IF(ABS(VALUE(LEFT(Z62,FIND(" ",Z62,1)))-AA62)&lt;=0.5,1,-1),-1))</f>
        <v>-1</v>
      </c>
      <c r="AC62" s="34">
        <v>0.46</v>
      </c>
      <c r="AD62" s="35">
        <f>0.3+L62/30+0.1</f>
        <v>0.46666666666666667</v>
      </c>
      <c r="AE62" s="7">
        <f>IF(AC62="",0,IF(ABS(VALUE(AC62)-AD62)&lt;=0.05,1,-1))</f>
        <v>1</v>
      </c>
      <c r="AF62" s="34">
        <v>0.54</v>
      </c>
      <c r="AG62" s="35">
        <f>1-AD62</f>
        <v>0.53333333333333333</v>
      </c>
      <c r="AH62" s="7">
        <f>IF(AF62="",0,IF(ABS(VALUE(AF62)-AG62)&lt;=0.05,1,-1))</f>
        <v>1</v>
      </c>
      <c r="AI62" s="34" t="s">
        <v>169</v>
      </c>
      <c r="AJ62" s="76">
        <f>-10*LOG10(1-(0.3+K62/20))</f>
        <v>4.5593195564972424</v>
      </c>
      <c r="AK62" s="7">
        <f>IF(AI62="",0,IF(EXACT(RIGHT(AI62,2),"dB"),IF(ABS(ABS(VALUE(LEFT(AI62,FIND(" ",AI62,1))))-AJ62)&lt;=0.5,1,-1),-1))</f>
        <v>1</v>
      </c>
      <c r="AL62" s="34">
        <v>0.90990000000000004</v>
      </c>
      <c r="AM62" s="35">
        <f>((0.16*(200+K62*10+L62)/(2+K62/10))-0.16*(200+K62*10+L62)/(6+L62/10))/10</f>
        <v>0.90991636798088393</v>
      </c>
      <c r="AN62" s="7">
        <f>IF(AL62="",0,IF(ABS(VALUE(AL62)-AM62)&lt;=0.05,1,-1))</f>
        <v>1</v>
      </c>
      <c r="AO62" s="34" t="s">
        <v>171</v>
      </c>
      <c r="AP62" s="35">
        <f>((0.16*(200+K62*10+L62)/(2+K62/10))-0.16*(200+K62*10+L62)/(6+L62/10))/(10+J62)</f>
        <v>0.60661091198725592</v>
      </c>
      <c r="AQ62" s="7">
        <f>IF(AO62="",0,IF(EXACT(RIGHT(AO62,2),"m2"),IF(ABS(VALUE(LEFT(AO62,FIND(" ",AO62,1)))-AP62)&lt;=0.05,1,-1),-1))</f>
        <v>1</v>
      </c>
      <c r="AR62" s="47">
        <f>M62+P62+S62+V62+Y62+AB62+AE62+AH62+AK62+AN62+AQ62</f>
        <v>7</v>
      </c>
    </row>
    <row r="63" spans="1:44" ht="12.75" x14ac:dyDescent="0.2">
      <c r="A63" s="50">
        <v>61</v>
      </c>
      <c r="B63" s="33">
        <v>41950.765640636579</v>
      </c>
      <c r="C63" s="34" t="s">
        <v>176</v>
      </c>
      <c r="D63" s="34" t="s">
        <v>177</v>
      </c>
      <c r="E63" s="17">
        <v>225699</v>
      </c>
      <c r="F63" s="6">
        <v>1</v>
      </c>
      <c r="G63" s="6">
        <f>INT(E63/100000)</f>
        <v>2</v>
      </c>
      <c r="H63" s="6">
        <f>INT(($E63-100000*G63)/10000)</f>
        <v>2</v>
      </c>
      <c r="I63" s="6">
        <f>INT(($E63-100000*G63-10000*H63)/1000)</f>
        <v>5</v>
      </c>
      <c r="J63" s="6">
        <f>INT(($E63-100000*$G63-10000*$H63-1000*$I63)/100)</f>
        <v>6</v>
      </c>
      <c r="K63" s="6">
        <f>INT(($E63-100000*$G63-10000*$H63-1000*$I63-100*$J63)/10)</f>
        <v>9</v>
      </c>
      <c r="L63" s="6">
        <f>INT(($E63-100000*$G63-10000*$H63-1000*$I63-100*$J63-10*$K63))</f>
        <v>9</v>
      </c>
      <c r="M63" s="7">
        <v>2</v>
      </c>
      <c r="N63" s="18"/>
      <c r="O63" s="76">
        <f>10*LOG10((10^((100+10*LOG10(1/(4*PI()*(3+J63/2)^2)))/10)+10^((100-3+10*LOG10(1/(4*PI()*(3+J63/2)^2)))/10))/10^((100+10*LOG10(4*(1+L63/10)/(0.16*(2000+K63*100))))/10))</f>
        <v>-6.9337311407880966</v>
      </c>
      <c r="P63" s="7">
        <f>IF(N63="",0,IF(EXACT(RIGHT(N63,2),"dB"),IF(ABS(VALUE(LEFT(N63,FIND(" ",N63,1)))-O63)&lt;=0.5,1,-1),-1))</f>
        <v>0</v>
      </c>
      <c r="Q63" s="18"/>
      <c r="R63" s="35">
        <f>(10^((100-3+10*LOG10(1/(4*PI()*(3+J63/2)^2)))/10)*COS((90-(30+L63*6))/180*PI()))/(10^((100+10*LOG10(1/(4*PI()*(3+J63/2)^2)))/10)+10^((100-3+10*LOG10(1/(4*PI()*(3+J63/2)^2)))/10))</f>
        <v>0.33203165225233644</v>
      </c>
      <c r="S63" s="7">
        <f>IF(Q63="",0,IF(ABS(VALUE(Q63)-R63)&lt;=0.05,1,-1))</f>
        <v>0</v>
      </c>
      <c r="T63" s="18"/>
      <c r="U63" s="76">
        <f>10*LOG10(10^((100+10*LOG10(1/(4*PI()*(3+J63/2)^2)))/10)+10^((100-3+10*LOG10(1/(4*PI()*(3+J63/2)^2)))/10)+10^((100+10*LOG10(4*(1+L63/10)/(0.16*(2000+K63*100))))/10))-100+31</f>
        <v>13.944146961237095</v>
      </c>
      <c r="V63" s="7">
        <f>IF(T63="",0,IF(EXACT(RIGHT(T63,2),"dB"),IF(ABS(VALUE(LEFT(T63,FIND(" ",T63,1)))-U63)&lt;=0.5,1,-1),-1))</f>
        <v>0</v>
      </c>
      <c r="W63" s="58">
        <v>0.91359999999999997</v>
      </c>
      <c r="X63" s="35">
        <f>(0.5+L63/20)/(1+10^(-(5+K63)/10))</f>
        <v>0.91362782131185805</v>
      </c>
      <c r="Y63" s="7">
        <f>IF(W63="",0,IF(ABS(VALUE(W63)-X63)&lt;=0.05,1,-1))</f>
        <v>1</v>
      </c>
      <c r="Z63" s="34" t="s">
        <v>179</v>
      </c>
      <c r="AA63" s="76">
        <f>10*LOG10(1+((100+K63*10+L63)*(0.5+J63/20))/((0.1+J63/100)*(6*(5+L63/2)^2)))</f>
        <v>4.5293410363105782</v>
      </c>
      <c r="AB63" s="7">
        <f>IF(Z63="",0,IF(EXACT(RIGHT(Z63,2),"dB"),IF(ABS(VALUE(LEFT(Z63,FIND(" ",Z63,1)))-AA63)&lt;=0.5,1,-1),-1))</f>
        <v>-1</v>
      </c>
      <c r="AC63" s="34">
        <v>0.7</v>
      </c>
      <c r="AD63" s="35">
        <f>0.3+L63/30+0.1</f>
        <v>0.7</v>
      </c>
      <c r="AE63" s="7">
        <f>IF(AC63="",0,IF(ABS(VALUE(AC63)-AD63)&lt;=0.05,1,-1))</f>
        <v>1</v>
      </c>
      <c r="AF63" s="34">
        <v>0.3</v>
      </c>
      <c r="AG63" s="35">
        <f>1-AD63</f>
        <v>0.30000000000000004</v>
      </c>
      <c r="AH63" s="7">
        <f>IF(AF63="",0,IF(ABS(VALUE(AF63)-AG63)&lt;=0.05,1,-1))</f>
        <v>1</v>
      </c>
      <c r="AI63" s="34" t="s">
        <v>178</v>
      </c>
      <c r="AJ63" s="76">
        <f>-10*LOG10(1-(0.3+K63/20))</f>
        <v>6.0205999132796242</v>
      </c>
      <c r="AK63" s="7">
        <f>IF(AI63="",0,IF(EXACT(RIGHT(AI63,2),"dB"),IF(ABS(ABS(VALUE(LEFT(AI63,FIND(" ",AI63,1))))-AJ63)&lt;=0.5,1,-1),-1))</f>
        <v>1</v>
      </c>
      <c r="AL63" s="34">
        <v>0.95630000000000004</v>
      </c>
      <c r="AM63" s="35">
        <f>((0.16*(200+K63*10+L63)/(2+K63/10))-0.16*(200+K63*10+L63)/(6+L63/10))/10</f>
        <v>0.95632183908045998</v>
      </c>
      <c r="AN63" s="7">
        <f>IF(AL63="",0,IF(ABS(VALUE(AL63)-AM63)&lt;=0.05,1,-1))</f>
        <v>1</v>
      </c>
      <c r="AO63" s="34" t="s">
        <v>180</v>
      </c>
      <c r="AP63" s="35">
        <f>((0.16*(200+K63*10+L63)/(2+K63/10))-0.16*(200+K63*10+L63)/(6+L63/10))/(10+J63)</f>
        <v>0.59770114942528751</v>
      </c>
      <c r="AQ63" s="7">
        <f>IF(AO63="",0,IF(EXACT(RIGHT(AO63,2),"m2"),IF(ABS(VALUE(LEFT(AO63,FIND(" ",AO63,1)))-AP63)&lt;=0.05,1,-1),-1))</f>
        <v>1</v>
      </c>
      <c r="AR63" s="47">
        <f>M63+P63+S63+V63+Y63+AB63+AE63+AH63+AK63+AN63+AQ63</f>
        <v>7</v>
      </c>
    </row>
    <row r="64" spans="1:44" ht="12.75" x14ac:dyDescent="0.2">
      <c r="A64" s="50">
        <v>62</v>
      </c>
      <c r="B64" s="33">
        <v>41950.766267743049</v>
      </c>
      <c r="C64" s="34" t="s">
        <v>139</v>
      </c>
      <c r="D64" s="34" t="s">
        <v>140</v>
      </c>
      <c r="E64" s="17">
        <v>233164</v>
      </c>
      <c r="F64" s="6">
        <v>1</v>
      </c>
      <c r="G64" s="6">
        <f>INT(E64/100000)</f>
        <v>2</v>
      </c>
      <c r="H64" s="6">
        <f>INT(($E64-100000*G64)/10000)</f>
        <v>3</v>
      </c>
      <c r="I64" s="6">
        <f>INT(($E64-100000*G64-10000*H64)/1000)</f>
        <v>3</v>
      </c>
      <c r="J64" s="6">
        <f>INT(($E64-100000*$G64-10000*$H64-1000*$I64)/100)</f>
        <v>1</v>
      </c>
      <c r="K64" s="6">
        <f>INT(($E64-100000*$G64-10000*$H64-1000*$I64-100*$J64)/10)</f>
        <v>6</v>
      </c>
      <c r="L64" s="6">
        <f>INT(($E64-100000*$G64-10000*$H64-1000*$I64-100*$J64-10*$K64))</f>
        <v>4</v>
      </c>
      <c r="M64" s="7">
        <v>2</v>
      </c>
      <c r="N64" s="18"/>
      <c r="O64" s="76">
        <f>10*LOG10((10^((100+10*LOG10(1/(4*PI()*(3+J64/2)^2)))/10)+10^((100-3+10*LOG10(1/(4*PI()*(3+J64/2)^2)))/10))/10^((100+10*LOG10(4*(1+L64/10)/(0.16*(2000+K64*100))))/10))</f>
        <v>-1.4000578666561934</v>
      </c>
      <c r="P64" s="7">
        <f>IF(N64="",0,IF(EXACT(RIGHT(N64,2),"dB"),IF(ABS(VALUE(LEFT(N64,FIND(" ",N64,1)))-O64)&lt;=0.5,1,-1),-1))</f>
        <v>0</v>
      </c>
      <c r="Q64" s="18"/>
      <c r="R64" s="35">
        <f>(10^((100-3+10*LOG10(1/(4*PI()*(3+J64/2)^2)))/10)*COS((90-(30+L64*6))/180*PI()))/(10^((100+10*LOG10(1/(4*PI()*(3+J64/2)^2)))/10)+10^((100-3+10*LOG10(1/(4*PI()*(3+J64/2)^2)))/10))</f>
        <v>0.2700988792640529</v>
      </c>
      <c r="S64" s="7">
        <f>IF(Q64="",0,IF(ABS(VALUE(Q64)-R64)&lt;=0.05,1,-1))</f>
        <v>0</v>
      </c>
      <c r="T64" s="18"/>
      <c r="U64" s="76">
        <f>10*LOG10(10^((100+10*LOG10(1/(4*PI()*(3+J64/2)^2)))/10)+10^((100-3+10*LOG10(1/(4*PI()*(3+J64/2)^2)))/10)+10^((100+10*LOG10(4*(1+L64/10)/(0.16*(2000+K64*100))))/10))-100+31</f>
        <v>14.657393361320871</v>
      </c>
      <c r="V64" s="7">
        <f>IF(T64="",0,IF(EXACT(RIGHT(T64,2),"dB"),IF(ABS(VALUE(LEFT(T64,FIND(" ",T64,1)))-U64)&lt;=0.5,1,-1),-1))</f>
        <v>0</v>
      </c>
      <c r="W64" s="58">
        <v>0.64839999999999998</v>
      </c>
      <c r="X64" s="35">
        <f>(0.5+L64/20)/(1+10^(-(5+K64)/10))</f>
        <v>0.64848871071769842</v>
      </c>
      <c r="Y64" s="7">
        <f>IF(W64="",0,IF(ABS(VALUE(W64)-X64)&lt;=0.05,1,-1))</f>
        <v>1</v>
      </c>
      <c r="Z64" s="36" t="s">
        <v>142</v>
      </c>
      <c r="AA64" s="76">
        <f>10*LOG10(1+((100+K64*10+L64)*(0.5+J64/20))/((0.1+J64/100)*(6*(5+L64/2)^2)))</f>
        <v>5.785378604255528</v>
      </c>
      <c r="AB64" s="7">
        <f>IF(Z64="",0,IF(EXACT(RIGHT(Z64,2),"dB"),IF(ABS(VALUE(LEFT(Z64,FIND(" ",Z64,1)))-AA64)&lt;=0.5,1,-1),-1))</f>
        <v>-1</v>
      </c>
      <c r="AC64" s="34">
        <v>0.5333</v>
      </c>
      <c r="AD64" s="35">
        <f>0.3+L64/30+0.1</f>
        <v>0.53333333333333333</v>
      </c>
      <c r="AE64" s="7">
        <f>IF(AC64="",0,IF(ABS(VALUE(AC64)-AD64)&lt;=0.05,1,-1))</f>
        <v>1</v>
      </c>
      <c r="AF64" s="34">
        <v>0.46660000000000001</v>
      </c>
      <c r="AG64" s="35">
        <f>1-AD64</f>
        <v>0.46666666666666667</v>
      </c>
      <c r="AH64" s="7">
        <f>IF(AF64="",0,IF(ABS(VALUE(AF64)-AG64)&lt;=0.05,1,-1))</f>
        <v>1</v>
      </c>
      <c r="AI64" s="34" t="s">
        <v>141</v>
      </c>
      <c r="AJ64" s="76">
        <f>-10*LOG10(1-(0.3+K64/20))</f>
        <v>3.9794000867203758</v>
      </c>
      <c r="AK64" s="7">
        <f>IF(AI64="",0,IF(EXACT(RIGHT(AI64,2),"dB"),IF(ABS(ABS(VALUE(LEFT(AI64,FIND(" ",AI64,1))))-AJ64)&lt;=0.5,1,-1),-1))</f>
        <v>1</v>
      </c>
      <c r="AL64" s="34">
        <v>0.96460000000000001</v>
      </c>
      <c r="AM64" s="35">
        <f>((0.16*(200+K64*10+L64)/(2+K64/10))-0.16*(200+K64*10+L64)/(6+L64/10))/10</f>
        <v>0.96461538461538454</v>
      </c>
      <c r="AN64" s="7">
        <f>IF(AL64="",0,IF(ABS(VALUE(AL64)-AM64)&lt;=0.05,1,-1))</f>
        <v>1</v>
      </c>
      <c r="AO64" s="34" t="s">
        <v>143</v>
      </c>
      <c r="AP64" s="35">
        <f>((0.16*(200+K64*10+L64)/(2+K64/10))-0.16*(200+K64*10+L64)/(6+L64/10))/(10+J64)</f>
        <v>0.87692307692307692</v>
      </c>
      <c r="AQ64" s="7">
        <f>IF(AO64="",0,IF(EXACT(RIGHT(AO64,2),"m2"),IF(ABS(VALUE(LEFT(AO64,FIND(" ",AO64,1)))-AP64)&lt;=0.05,1,-1),-1))</f>
        <v>1</v>
      </c>
      <c r="AR64" s="47">
        <f>M64+P64+S64+V64+Y64+AB64+AE64+AH64+AK64+AN64+AQ64</f>
        <v>7</v>
      </c>
    </row>
    <row r="65" spans="1:44" ht="12.75" x14ac:dyDescent="0.2">
      <c r="A65" s="50">
        <v>63</v>
      </c>
      <c r="B65" s="33">
        <v>41950.76673023148</v>
      </c>
      <c r="C65" s="34" t="s">
        <v>283</v>
      </c>
      <c r="D65" s="34" t="s">
        <v>284</v>
      </c>
      <c r="E65" s="17">
        <v>233256</v>
      </c>
      <c r="F65" s="6">
        <v>1</v>
      </c>
      <c r="G65" s="6">
        <f>INT(E65/100000)</f>
        <v>2</v>
      </c>
      <c r="H65" s="6">
        <f>INT(($E65-100000*G65)/10000)</f>
        <v>3</v>
      </c>
      <c r="I65" s="6">
        <f>INT(($E65-100000*G65-10000*H65)/1000)</f>
        <v>3</v>
      </c>
      <c r="J65" s="6">
        <f>INT(($E65-100000*$G65-10000*$H65-1000*$I65)/100)</f>
        <v>2</v>
      </c>
      <c r="K65" s="6">
        <f>INT(($E65-100000*$G65-10000*$H65-1000*$I65-100*$J65)/10)</f>
        <v>5</v>
      </c>
      <c r="L65" s="6">
        <f>INT(($E65-100000*$G65-10000*$H65-1000*$I65-100*$J65-10*$K65))</f>
        <v>6</v>
      </c>
      <c r="M65" s="7">
        <v>2</v>
      </c>
      <c r="N65" s="18"/>
      <c r="O65" s="76">
        <f>10*LOG10((10^((100+10*LOG10(1/(4*PI()*(3+J65/2)^2)))/10)+10^((100-3+10*LOG10(1/(4*PI()*(3+J65/2)^2)))/10))/10^((100+10*LOG10(4*(1+L65/10)/(0.16*(2000+K65*100))))/10))</f>
        <v>-3.3101496689745984</v>
      </c>
      <c r="P65" s="7">
        <f>IF(N65="",0,IF(EXACT(RIGHT(N65,2),"dB"),IF(ABS(VALUE(LEFT(N65,FIND(" ",N65,1)))-O65)&lt;=0.5,1,-1),-1))</f>
        <v>0</v>
      </c>
      <c r="Q65" s="18"/>
      <c r="R65" s="35">
        <f>(10^((100-3+10*LOG10(1/(4*PI()*(3+J65/2)^2)))/10)*COS((90-(30+L65*6))/180*PI()))/(10^((100+10*LOG10(1/(4*PI()*(3+J65/2)^2)))/10)+10^((100-3+10*LOG10(1/(4*PI()*(3+J65/2)^2)))/10))</f>
        <v>0.30499681215803365</v>
      </c>
      <c r="S65" s="7">
        <f>IF(Q65="",0,IF(ABS(VALUE(Q65)-R65)&lt;=0.05,1,-1))</f>
        <v>0</v>
      </c>
      <c r="T65" s="18"/>
      <c r="U65" s="76">
        <f>10*LOG10(10^((100+10*LOG10(1/(4*PI()*(3+J65/2)^2)))/10)+10^((100-3+10*LOG10(1/(4*PI()*(3+J65/2)^2)))/10)+10^((100+10*LOG10(4*(1+L65/10)/(0.16*(2000+K65*100))))/10))-100+31</f>
        <v>14.704444847682055</v>
      </c>
      <c r="V65" s="7">
        <f>IF(T65="",0,IF(EXACT(RIGHT(T65,2),"dB"),IF(ABS(VALUE(LEFT(T65,FIND(" ",T65,1)))-U65)&lt;=0.5,1,-1),-1))</f>
        <v>0</v>
      </c>
      <c r="W65" s="58">
        <v>0.72727273000000003</v>
      </c>
      <c r="X65" s="35">
        <f>(0.5+L65/20)/(1+10^(-(5+K65)/10))</f>
        <v>0.72727272727272729</v>
      </c>
      <c r="Y65" s="7">
        <f>IF(W65="",0,IF(ABS(VALUE(W65)-X65)&lt;=0.05,1,-1))</f>
        <v>1</v>
      </c>
      <c r="Z65" s="34" t="s">
        <v>286</v>
      </c>
      <c r="AA65" s="76">
        <f>10*LOG10(1+((100+K65*10+L65)*(0.5+J65/20))/((0.1+J65/100)*(6*(5+L65/2)^2)))</f>
        <v>4.8162175594633885</v>
      </c>
      <c r="AB65" s="7">
        <f>IF(Z65="",0,IF(EXACT(RIGHT(Z65,2),"dB"),IF(ABS(VALUE(LEFT(Z65,FIND(" ",Z65,1)))-AA65)&lt;=0.5,1,-1),-1))</f>
        <v>-1</v>
      </c>
      <c r="AC65" s="34">
        <v>0.6</v>
      </c>
      <c r="AD65" s="35">
        <f>0.3+L65/30+0.1</f>
        <v>0.6</v>
      </c>
      <c r="AE65" s="7">
        <f>IF(AC65="",0,IF(ABS(VALUE(AC65)-AD65)&lt;=0.05,1,-1))</f>
        <v>1</v>
      </c>
      <c r="AF65" s="34">
        <v>0.4</v>
      </c>
      <c r="AG65" s="35">
        <f>1-AD65</f>
        <v>0.4</v>
      </c>
      <c r="AH65" s="7">
        <f>IF(AF65="",0,IF(ABS(VALUE(AF65)-AG65)&lt;=0.05,1,-1))</f>
        <v>1</v>
      </c>
      <c r="AI65" s="34" t="s">
        <v>285</v>
      </c>
      <c r="AJ65" s="76">
        <f>-10*LOG10(1-(0.3+K65/20))</f>
        <v>3.467874862246564</v>
      </c>
      <c r="AK65" s="7">
        <f>IF(AI65="",0,IF(EXACT(RIGHT(AI65,2),"dB"),IF(ABS(ABS(VALUE(LEFT(AI65,FIND(" ",AI65,1))))-AJ65)&lt;=0.5,1,-1),-1))</f>
        <v>1</v>
      </c>
      <c r="AL65" s="34">
        <v>1.01779394</v>
      </c>
      <c r="AM65" s="35">
        <f>((0.16*(200+K65*10+L65)/(2+K65/10))-0.16*(200+K65*10+L65)/(6+L65/10))/10</f>
        <v>1.0177939393939393</v>
      </c>
      <c r="AN65" s="7">
        <f>IF(AL65="",0,IF(ABS(VALUE(AL65)-AM65)&lt;=0.05,1,-1))</f>
        <v>1</v>
      </c>
      <c r="AO65" s="34" t="s">
        <v>287</v>
      </c>
      <c r="AP65" s="35">
        <f>((0.16*(200+K65*10+L65)/(2+K65/10))-0.16*(200+K65*10+L65)/(6+L65/10))/(10+J65)</f>
        <v>0.84816161616161612</v>
      </c>
      <c r="AQ65" s="7">
        <f>IF(AO65="",0,IF(EXACT(RIGHT(AO65,2),"m2"),IF(ABS(VALUE(LEFT(AO65,FIND(" ",AO65,1)))-AP65)&lt;=0.05,1,-1),-1))</f>
        <v>1</v>
      </c>
      <c r="AR65" s="47">
        <f>M65+P65+S65+V65+Y65+AB65+AE65+AH65+AK65+AN65+AQ65</f>
        <v>7</v>
      </c>
    </row>
    <row r="66" spans="1:44" ht="12.75" x14ac:dyDescent="0.2">
      <c r="A66" s="50">
        <v>64</v>
      </c>
      <c r="B66" s="33">
        <v>41950.766950590281</v>
      </c>
      <c r="C66" s="34" t="s">
        <v>303</v>
      </c>
      <c r="D66" s="34" t="s">
        <v>304</v>
      </c>
      <c r="E66" s="17">
        <v>239476</v>
      </c>
      <c r="F66" s="6">
        <v>1</v>
      </c>
      <c r="G66" s="6">
        <f>INT(E66/100000)</f>
        <v>2</v>
      </c>
      <c r="H66" s="6">
        <f>INT(($E66-100000*G66)/10000)</f>
        <v>3</v>
      </c>
      <c r="I66" s="6">
        <f>INT(($E66-100000*G66-10000*H66)/1000)</f>
        <v>9</v>
      </c>
      <c r="J66" s="6">
        <f>INT(($E66-100000*$G66-10000*$H66-1000*$I66)/100)</f>
        <v>4</v>
      </c>
      <c r="K66" s="6">
        <f>INT(($E66-100000*$G66-10000*$H66-1000*$I66-100*$J66)/10)</f>
        <v>7</v>
      </c>
      <c r="L66" s="6">
        <f>INT(($E66-100000*$G66-10000*$H66-1000*$I66-100*$J66-10*$K66))</f>
        <v>6</v>
      </c>
      <c r="M66" s="7">
        <v>2</v>
      </c>
      <c r="N66" s="18"/>
      <c r="O66" s="76">
        <f>10*LOG10((10^((100+10*LOG10(1/(4*PI()*(3+J66/2)^2)))/10)+10^((100-3+10*LOG10(1/(4*PI()*(3+J66/2)^2)))/10))/10^((100+10*LOG10(4*(1+L66/10)/(0.16*(2000+K66*100))))/10))</f>
        <v>-4.9141123742662147</v>
      </c>
      <c r="P66" s="7">
        <f>IF(N66="",0,IF(EXACT(RIGHT(N66,2),"dB"),IF(ABS(VALUE(LEFT(N66,FIND(" ",N66,1)))-O66)&lt;=0.5,1,-1),-1))</f>
        <v>0</v>
      </c>
      <c r="Q66" s="18"/>
      <c r="R66" s="35">
        <f>(10^((100-3+10*LOG10(1/(4*PI()*(3+J66/2)^2)))/10)*COS((90-(30+L66*6))/180*PI()))/(10^((100+10*LOG10(1/(4*PI()*(3+J66/2)^2)))/10)+10^((100-3+10*LOG10(1/(4*PI()*(3+J66/2)^2)))/10))</f>
        <v>0.3049968121580337</v>
      </c>
      <c r="S66" s="7">
        <f>IF(Q66="",0,IF(ABS(VALUE(Q66)-R66)&lt;=0.05,1,-1))</f>
        <v>0</v>
      </c>
      <c r="T66" s="18"/>
      <c r="U66" s="76">
        <f>10*LOG10(10^((100+10*LOG10(1/(4*PI()*(3+J66/2)^2)))/10)+10^((100-3+10*LOG10(1/(4*PI()*(3+J66/2)^2)))/10)+10^((100+10*LOG10(4*(1+L66/10)/(0.16*(2000+K66*100))))/10))-100+31</f>
        <v>13.921063067725555</v>
      </c>
      <c r="V66" s="7">
        <f>IF(T66="",0,IF(EXACT(RIGHT(T66,2),"dB"),IF(ABS(VALUE(LEFT(T66,FIND(" ",T66,1)))-U66)&lt;=0.5,1,-1),-1))</f>
        <v>0</v>
      </c>
      <c r="W66" s="58">
        <v>0.75251920000000005</v>
      </c>
      <c r="X66" s="35">
        <f>(0.5+L66/20)/(1+10^(-(5+K66)/10))</f>
        <v>0.75251924551778593</v>
      </c>
      <c r="Y66" s="7">
        <f>IF(W66="",0,IF(ABS(VALUE(W66)-X66)&lt;=0.05,1,-1))</f>
        <v>1</v>
      </c>
      <c r="Z66" s="34" t="s">
        <v>306</v>
      </c>
      <c r="AA66" s="76">
        <f>10*LOG10(1+((100+K66*10+L66)*(0.5+J66/20))/((0.1+J66/100)*(6*(5+L66/2)^2)))</f>
        <v>5.1741584957883537</v>
      </c>
      <c r="AB66" s="7">
        <f>IF(Z66="",0,IF(EXACT(RIGHT(Z66,2),"dB"),IF(ABS(VALUE(LEFT(Z66,FIND(" ",Z66,1)))-AA66)&lt;=0.5,1,-1),-1))</f>
        <v>1</v>
      </c>
      <c r="AC66" s="34">
        <v>0.6</v>
      </c>
      <c r="AD66" s="35">
        <f>0.3+L66/30+0.1</f>
        <v>0.6</v>
      </c>
      <c r="AE66" s="7">
        <f>IF(AC66="",0,IF(ABS(VALUE(AC66)-AD66)&lt;=0.05,1,-1))</f>
        <v>1</v>
      </c>
      <c r="AF66" s="34">
        <v>0.4</v>
      </c>
      <c r="AG66" s="35">
        <f>1-AD66</f>
        <v>0.4</v>
      </c>
      <c r="AH66" s="7">
        <f>IF(AF66="",0,IF(ABS(VALUE(AF66)-AG66)&lt;=0.05,1,-1))</f>
        <v>1</v>
      </c>
      <c r="AI66" s="34" t="s">
        <v>305</v>
      </c>
      <c r="AJ66" s="76">
        <f>-10*LOG10(1-(0.3+K66/20))</f>
        <v>4.5593195564972424</v>
      </c>
      <c r="AK66" s="7">
        <f>IF(AI66="",0,IF(EXACT(RIGHT(AI66,2),"dB"),IF(ABS(ABS(VALUE(LEFT(AI66,FIND(" ",AI66,1))))-AJ66)&lt;=0.5,1,-1),-1))</f>
        <v>-1</v>
      </c>
      <c r="AL66" s="34">
        <v>0.96646500000000002</v>
      </c>
      <c r="AM66" s="35">
        <f>((0.16*(200+K66*10+L66)/(2+K66/10))-0.16*(200+K66*10+L66)/(6+L66/10))/10</f>
        <v>0.96646464646464625</v>
      </c>
      <c r="AN66" s="7">
        <f>IF(AL66="",0,IF(ABS(VALUE(AL66)-AM66)&lt;=0.05,1,-1))</f>
        <v>1</v>
      </c>
      <c r="AO66" s="34" t="s">
        <v>307</v>
      </c>
      <c r="AP66" s="35">
        <f>((0.16*(200+K66*10+L66)/(2+K66/10))-0.16*(200+K66*10+L66)/(6+L66/10))/(10+J66)</f>
        <v>0.69033189033189024</v>
      </c>
      <c r="AQ66" s="7">
        <f>IF(AO66="",0,IF(EXACT(RIGHT(AO66,2),"m2"),IF(ABS(VALUE(LEFT(AO66,FIND(" ",AO66,1)))-AP66)&lt;=0.05,1,-1),-1))</f>
        <v>1</v>
      </c>
      <c r="AR66" s="47">
        <f>M66+P66+S66+V66+Y66+AB66+AE66+AH66+AK66+AN66+AQ66</f>
        <v>7</v>
      </c>
    </row>
    <row r="67" spans="1:44" ht="12.75" x14ac:dyDescent="0.2">
      <c r="A67" s="50">
        <v>65</v>
      </c>
      <c r="B67" s="33">
        <v>41950.767562037036</v>
      </c>
      <c r="C67" s="34" t="s">
        <v>333</v>
      </c>
      <c r="D67" s="34" t="s">
        <v>334</v>
      </c>
      <c r="E67" s="17">
        <v>232299</v>
      </c>
      <c r="F67" s="6">
        <v>1</v>
      </c>
      <c r="G67" s="6">
        <f>INT(E67/100000)</f>
        <v>2</v>
      </c>
      <c r="H67" s="6">
        <f>INT(($E67-100000*G67)/10000)</f>
        <v>3</v>
      </c>
      <c r="I67" s="6">
        <f>INT(($E67-100000*G67-10000*H67)/1000)</f>
        <v>2</v>
      </c>
      <c r="J67" s="6">
        <f>INT(($E67-100000*$G67-10000*$H67-1000*$I67)/100)</f>
        <v>2</v>
      </c>
      <c r="K67" s="6">
        <f>INT(($E67-100000*$G67-10000*$H67-1000*$I67-100*$J67)/10)</f>
        <v>9</v>
      </c>
      <c r="L67" s="6">
        <f>INT(($E67-100000*$G67-10000*$H67-1000*$I67-100*$J67-10*$K67))</f>
        <v>9</v>
      </c>
      <c r="M67" s="7">
        <v>2</v>
      </c>
      <c r="N67" s="18"/>
      <c r="O67" s="76">
        <f>10*LOG10((10^((100+10*LOG10(1/(4*PI()*(3+J67/2)^2)))/10)+10^((100-3+10*LOG10(1/(4*PI()*(3+J67/2)^2)))/10))/10^((100+10*LOG10(4*(1+L67/10)/(0.16*(2000+K67*100))))/10))</f>
        <v>-3.411905959674467</v>
      </c>
      <c r="P67" s="7">
        <f>IF(N67="",0,IF(EXACT(RIGHT(N67,2),"dB"),IF(ABS(VALUE(LEFT(N67,FIND(" ",N67,1)))-O67)&lt;=0.5,1,-1),-1))</f>
        <v>0</v>
      </c>
      <c r="Q67" s="18"/>
      <c r="R67" s="35">
        <f>(10^((100-3+10*LOG10(1/(4*PI()*(3+J67/2)^2)))/10)*COS((90-(30+L67*6))/180*PI()))/(10^((100+10*LOG10(1/(4*PI()*(3+J67/2)^2)))/10)+10^((100-3+10*LOG10(1/(4*PI()*(3+J67/2)^2)))/10))</f>
        <v>0.33203165225233566</v>
      </c>
      <c r="S67" s="7">
        <f>IF(Q67="",0,IF(ABS(VALUE(Q67)-R67)&lt;=0.05,1,-1))</f>
        <v>0</v>
      </c>
      <c r="T67" s="18"/>
      <c r="U67" s="76">
        <f>10*LOG10(10^((100+10*LOG10(1/(4*PI()*(3+J67/2)^2)))/10)+10^((100-3+10*LOG10(1/(4*PI()*(3+J67/2)^2)))/10)+10^((100+10*LOG10(4*(1+L67/10)/(0.16*(2000+K67*100))))/10))-100+31</f>
        <v>14.774083113562654</v>
      </c>
      <c r="V67" s="7">
        <f>IF(T67="",0,IF(EXACT(RIGHT(T67,2),"dB"),IF(ABS(VALUE(LEFT(T67,FIND(" ",T67,1)))-U67)&lt;=0.5,1,-1),-1))</f>
        <v>0</v>
      </c>
      <c r="W67" s="58">
        <v>0.91369999999999996</v>
      </c>
      <c r="X67" s="35">
        <f>(0.5+L67/20)/(1+10^(-(5+K67)/10))</f>
        <v>0.91362782131185805</v>
      </c>
      <c r="Y67" s="7">
        <f>IF(W67="",0,IF(ABS(VALUE(W67)-X67)&lt;=0.05,1,-1))</f>
        <v>1</v>
      </c>
      <c r="Z67" s="34" t="s">
        <v>336</v>
      </c>
      <c r="AA67" s="76">
        <f>10*LOG10(1+((100+K67*10+L67)*(0.5+J67/20))/((0.1+J67/100)*(6*(5+L67/2)^2)))</f>
        <v>4.5293410363105782</v>
      </c>
      <c r="AB67" s="7">
        <f>IF(Z67="",0,IF(EXACT(RIGHT(Z67,2),"dB"),IF(ABS(VALUE(LEFT(Z67,FIND(" ",Z67,1)))-AA67)&lt;=0.5,1,-1),-1))</f>
        <v>-1</v>
      </c>
      <c r="AC67" s="34">
        <v>0.7</v>
      </c>
      <c r="AD67" s="35">
        <f>0.3+L67/30+0.1</f>
        <v>0.7</v>
      </c>
      <c r="AE67" s="7">
        <f>IF(AC67="",0,IF(ABS(VALUE(AC67)-AD67)&lt;=0.05,1,-1))</f>
        <v>1</v>
      </c>
      <c r="AF67" s="34">
        <v>0.3</v>
      </c>
      <c r="AG67" s="35">
        <f>1-AD67</f>
        <v>0.30000000000000004</v>
      </c>
      <c r="AH67" s="7">
        <f>IF(AF67="",0,IF(ABS(VALUE(AF67)-AG67)&lt;=0.05,1,-1))</f>
        <v>1</v>
      </c>
      <c r="AI67" s="34" t="s">
        <v>335</v>
      </c>
      <c r="AJ67" s="76">
        <f>-10*LOG10(1-(0.3+K67/20))</f>
        <v>6.0205999132796242</v>
      </c>
      <c r="AK67" s="7">
        <f>IF(AI67="",0,IF(EXACT(RIGHT(AI67,2),"dB"),IF(ABS(ABS(VALUE(LEFT(AI67,FIND(" ",AI67,1))))-AJ67)&lt;=0.5,1,-1),-1))</f>
        <v>1</v>
      </c>
      <c r="AL67" s="34">
        <v>0.95630000000000004</v>
      </c>
      <c r="AM67" s="35">
        <f>((0.16*(200+K67*10+L67)/(2+K67/10))-0.16*(200+K67*10+L67)/(6+L67/10))/10</f>
        <v>0.95632183908045998</v>
      </c>
      <c r="AN67" s="7">
        <f>IF(AL67="",0,IF(ABS(VALUE(AL67)-AM67)&lt;=0.05,1,-1))</f>
        <v>1</v>
      </c>
      <c r="AO67" s="34" t="s">
        <v>337</v>
      </c>
      <c r="AP67" s="35">
        <f>((0.16*(200+K67*10+L67)/(2+K67/10))-0.16*(200+K67*10+L67)/(6+L67/10))/(10+J67)</f>
        <v>0.79693486590038332</v>
      </c>
      <c r="AQ67" s="7">
        <f>IF(AO67="",0,IF(EXACT(RIGHT(AO67,2),"m2"),IF(ABS(VALUE(LEFT(AO67,FIND(" ",AO67,1)))-AP67)&lt;=0.05,1,-1),-1))</f>
        <v>1</v>
      </c>
      <c r="AR67" s="47">
        <f>M67+P67+S67+V67+Y67+AB67+AE67+AH67+AK67+AN67+AQ67</f>
        <v>7</v>
      </c>
    </row>
    <row r="68" spans="1:44" ht="12.75" x14ac:dyDescent="0.2">
      <c r="A68" s="50">
        <v>66</v>
      </c>
      <c r="B68" s="33">
        <v>41950.76811902778</v>
      </c>
      <c r="C68" s="34" t="s">
        <v>378</v>
      </c>
      <c r="D68" s="34" t="s">
        <v>379</v>
      </c>
      <c r="E68" s="17">
        <v>243124</v>
      </c>
      <c r="F68" s="6">
        <v>1</v>
      </c>
      <c r="G68" s="6">
        <f>INT(E68/100000)</f>
        <v>2</v>
      </c>
      <c r="H68" s="6">
        <f>INT(($E68-100000*G68)/10000)</f>
        <v>4</v>
      </c>
      <c r="I68" s="6">
        <f>INT(($E68-100000*G68-10000*H68)/1000)</f>
        <v>3</v>
      </c>
      <c r="J68" s="6">
        <f>INT(($E68-100000*$G68-10000*$H68-1000*$I68)/100)</f>
        <v>1</v>
      </c>
      <c r="K68" s="6">
        <f>INT(($E68-100000*$G68-10000*$H68-1000*$I68-100*$J68)/10)</f>
        <v>2</v>
      </c>
      <c r="L68" s="6">
        <f>INT(($E68-100000*$G68-10000*$H68-1000*$I68-100*$J68-10*$K68))</f>
        <v>4</v>
      </c>
      <c r="M68" s="7">
        <v>2</v>
      </c>
      <c r="N68" s="18"/>
      <c r="O68" s="76">
        <f>10*LOG10((10^((100+10*LOG10(1/(4*PI()*(3+J68/2)^2)))/10)+10^((100-3+10*LOG10(1/(4*PI()*(3+J68/2)^2)))/10))/10^((100+10*LOG10(4*(1+L68/10)/(0.16*(2000+K68*100))))/10))</f>
        <v>-2.1255645381423154</v>
      </c>
      <c r="P68" s="7">
        <f>IF(N68="",0,IF(EXACT(RIGHT(N68,2),"dB"),IF(ABS(VALUE(LEFT(N68,FIND(" ",N68,1)))-O68)&lt;=0.5,1,-1),-1))</f>
        <v>0</v>
      </c>
      <c r="Q68" s="18"/>
      <c r="R68" s="35">
        <f>(10^((100-3+10*LOG10(1/(4*PI()*(3+J68/2)^2)))/10)*COS((90-(30+L68*6))/180*PI()))/(10^((100+10*LOG10(1/(4*PI()*(3+J68/2)^2)))/10)+10^((100-3+10*LOG10(1/(4*PI()*(3+J68/2)^2)))/10))</f>
        <v>0.2700988792640529</v>
      </c>
      <c r="S68" s="7">
        <f>IF(Q68="",0,IF(ABS(VALUE(Q68)-R68)&lt;=0.05,1,-1))</f>
        <v>0</v>
      </c>
      <c r="T68" s="18"/>
      <c r="U68" s="76">
        <f>10*LOG10(10^((100+10*LOG10(1/(4*PI()*(3+J68/2)^2)))/10)+10^((100-3+10*LOG10(1/(4*PI()*(3+J68/2)^2)))/10)+10^((100+10*LOG10(4*(1+L68/10)/(0.16*(2000+K68*100))))/10))-100+31</f>
        <v>15.092732975986621</v>
      </c>
      <c r="V68" s="7">
        <f>IF(T68="",0,IF(EXACT(RIGHT(T68,2),"dB"),IF(ABS(VALUE(LEFT(T68,FIND(" ",T68,1)))-U68)&lt;=0.5,1,-1),-1))</f>
        <v>0</v>
      </c>
      <c r="W68" s="58">
        <v>0.58299999999999996</v>
      </c>
      <c r="X68" s="35">
        <f>(0.5+L68/20)/(1+10^(-(5+K68)/10))</f>
        <v>0.58356372842840665</v>
      </c>
      <c r="Y68" s="7">
        <f>IF(W68="",0,IF(ABS(VALUE(W68)-X68)&lt;=0.05,1,-1))</f>
        <v>1</v>
      </c>
      <c r="Z68" s="34" t="s">
        <v>381</v>
      </c>
      <c r="AA68" s="76">
        <f>10*LOG10(1+((100+K68*10+L68)*(0.5+J68/20))/((0.1+J68/100)*(6*(5+L68/2)^2)))</f>
        <v>4.9259886532167405</v>
      </c>
      <c r="AB68" s="7">
        <f>IF(Z68="",0,IF(EXACT(RIGHT(Z68,2),"dB"),IF(ABS(VALUE(LEFT(Z68,FIND(" ",Z68,1)))-AA68)&lt;=0.5,1,-1),-1))</f>
        <v>-1</v>
      </c>
      <c r="AC68" s="34">
        <v>0.53300000000000003</v>
      </c>
      <c r="AD68" s="35">
        <f>0.3+L68/30+0.1</f>
        <v>0.53333333333333333</v>
      </c>
      <c r="AE68" s="7">
        <f>IF(AC68="",0,IF(ABS(VALUE(AC68)-AD68)&lt;=0.05,1,-1))</f>
        <v>1</v>
      </c>
      <c r="AF68" s="34">
        <v>0.46600000000000003</v>
      </c>
      <c r="AG68" s="35">
        <f>1-AD68</f>
        <v>0.46666666666666667</v>
      </c>
      <c r="AH68" s="7">
        <f>IF(AF68="",0,IF(ABS(VALUE(AF68)-AG68)&lt;=0.05,1,-1))</f>
        <v>1</v>
      </c>
      <c r="AI68" s="34" t="s">
        <v>380</v>
      </c>
      <c r="AJ68" s="76">
        <f>-10*LOG10(1-(0.3+K68/20))</f>
        <v>2.2184874961635641</v>
      </c>
      <c r="AK68" s="7">
        <f>IF(AI68="",0,IF(EXACT(RIGHT(AI68,2),"dB"),IF(ABS(ABS(VALUE(LEFT(AI68,FIND(" ",AI68,1))))-AJ68)&lt;=0.5,1,-1),-1))</f>
        <v>1</v>
      </c>
      <c r="AL68" s="34">
        <v>1.069</v>
      </c>
      <c r="AM68" s="35">
        <f>((0.16*(200+K68*10+L68)/(2+K68/10))-0.16*(200+K68*10+L68)/(6+L68/10))/10</f>
        <v>1.0690909090909091</v>
      </c>
      <c r="AN68" s="7">
        <f>IF(AL68="",0,IF(ABS(VALUE(AL68)-AM68)&lt;=0.05,1,-1))</f>
        <v>1</v>
      </c>
      <c r="AO68" s="34" t="s">
        <v>382</v>
      </c>
      <c r="AP68" s="35">
        <f>((0.16*(200+K68*10+L68)/(2+K68/10))-0.16*(200+K68*10+L68)/(6+L68/10))/(10+J68)</f>
        <v>0.97190082644628106</v>
      </c>
      <c r="AQ68" s="7">
        <f>IF(AO68="",0,IF(EXACT(RIGHT(AO68,2),"m2"),IF(ABS(VALUE(LEFT(AO68,FIND(" ",AO68,1)))-AP68)&lt;=0.05,1,-1),-1))</f>
        <v>1</v>
      </c>
      <c r="AR68" s="47">
        <f>M68+P68+S68+V68+Y68+AB68+AE68+AH68+AK68+AN68+AQ68</f>
        <v>7</v>
      </c>
    </row>
    <row r="69" spans="1:44" ht="12.75" x14ac:dyDescent="0.2">
      <c r="A69" s="50">
        <v>67</v>
      </c>
      <c r="B69" s="33">
        <v>41950.7681734375</v>
      </c>
      <c r="C69" s="34" t="s">
        <v>383</v>
      </c>
      <c r="D69" s="34" t="s">
        <v>384</v>
      </c>
      <c r="E69" s="17">
        <v>234814</v>
      </c>
      <c r="F69" s="6">
        <v>1</v>
      </c>
      <c r="G69" s="6">
        <f>INT(E69/100000)</f>
        <v>2</v>
      </c>
      <c r="H69" s="6">
        <f>INT(($E69-100000*G69)/10000)</f>
        <v>3</v>
      </c>
      <c r="I69" s="6">
        <f>INT(($E69-100000*G69-10000*H69)/1000)</f>
        <v>4</v>
      </c>
      <c r="J69" s="6">
        <f>INT(($E69-100000*$G69-10000*$H69-1000*$I69)/100)</f>
        <v>8</v>
      </c>
      <c r="K69" s="6">
        <f>INT(($E69-100000*$G69-10000*$H69-1000*$I69-100*$J69)/10)</f>
        <v>1</v>
      </c>
      <c r="L69" s="6">
        <f>INT(($E69-100000*$G69-10000*$H69-1000*$I69-100*$J69-10*$K69))</f>
        <v>4</v>
      </c>
      <c r="M69" s="7">
        <v>2</v>
      </c>
      <c r="N69" s="18"/>
      <c r="O69" s="76">
        <f>10*LOG10((10^((100+10*LOG10(1/(4*PI()*(3+J69/2)^2)))/10)+10^((100-3+10*LOG10(1/(4*PI()*(3+J69/2)^2)))/10))/10^((100+10*LOG10(4*(1+L69/10)/(0.16*(2000+K69*100))))/10))</f>
        <v>-8.3481983123047971</v>
      </c>
      <c r="P69" s="7">
        <f>IF(N69="",0,IF(EXACT(RIGHT(N69,2),"dB"),IF(ABS(VALUE(LEFT(N69,FIND(" ",N69,1)))-O69)&lt;=0.5,1,-1),-1))</f>
        <v>0</v>
      </c>
      <c r="Q69" s="18"/>
      <c r="R69" s="35">
        <f>(10^((100-3+10*LOG10(1/(4*PI()*(3+J69/2)^2)))/10)*COS((90-(30+L69*6))/180*PI()))/(10^((100+10*LOG10(1/(4*PI()*(3+J69/2)^2)))/10)+10^((100-3+10*LOG10(1/(4*PI()*(3+J69/2)^2)))/10))</f>
        <v>0.2700988792640529</v>
      </c>
      <c r="S69" s="7">
        <f>IF(Q69="",0,IF(ABS(VALUE(Q69)-R69)&lt;=0.05,1,-1))</f>
        <v>0</v>
      </c>
      <c r="T69" s="18"/>
      <c r="U69" s="76">
        <f>10*LOG10(10^((100+10*LOG10(1/(4*PI()*(3+J69/2)^2)))/10)+10^((100-3+10*LOG10(1/(4*PI()*(3+J69/2)^2)))/10)+10^((100+10*LOG10(4*(1+L69/10)/(0.16*(2000+K69*100))))/10))-100+31</f>
        <v>13.811388542757086</v>
      </c>
      <c r="V69" s="7">
        <f>IF(T69="",0,IF(EXACT(RIGHT(T69,2),"dB"),IF(ABS(VALUE(LEFT(T69,FIND(" ",T69,1)))-U69)&lt;=0.5,1,-1),-1))</f>
        <v>0</v>
      </c>
      <c r="W69" s="58">
        <v>0.55900000000000005</v>
      </c>
      <c r="X69" s="35">
        <f>(0.5+L69/20)/(1+10^(-(5+K69)/10))</f>
        <v>0.55946799376082879</v>
      </c>
      <c r="Y69" s="7">
        <f>IF(W69="",0,IF(ABS(VALUE(W69)-X69)&lt;=0.05,1,-1))</f>
        <v>1</v>
      </c>
      <c r="Z69" s="36" t="s">
        <v>386</v>
      </c>
      <c r="AA69" s="76">
        <f>10*LOG10(1+((100+K69*10+L69)*(0.5+J69/20))/((0.1+J69/100)*(6*(5+L69/2)^2)))</f>
        <v>4.681664120667361</v>
      </c>
      <c r="AB69" s="7">
        <f>IF(Z69="",0,IF(EXACT(RIGHT(Z69,2),"dB"),IF(ABS(VALUE(LEFT(Z69,FIND(" ",Z69,1)))-AA69)&lt;=0.5,1,-1),-1))</f>
        <v>-1</v>
      </c>
      <c r="AC69" s="34">
        <v>0.53</v>
      </c>
      <c r="AD69" s="35">
        <f>0.3+L69/30+0.1</f>
        <v>0.53333333333333333</v>
      </c>
      <c r="AE69" s="7">
        <f>IF(AC69="",0,IF(ABS(VALUE(AC69)-AD69)&lt;=0.05,1,-1))</f>
        <v>1</v>
      </c>
      <c r="AF69" s="34">
        <v>0.47</v>
      </c>
      <c r="AG69" s="35">
        <f>1-AD69</f>
        <v>0.46666666666666667</v>
      </c>
      <c r="AH69" s="7">
        <f>IF(AF69="",0,IF(ABS(VALUE(AF69)-AG69)&lt;=0.05,1,-1))</f>
        <v>1</v>
      </c>
      <c r="AI69" s="36" t="s">
        <v>385</v>
      </c>
      <c r="AJ69" s="76">
        <f>-10*LOG10(1-(0.3+K69/20))</f>
        <v>1.8708664335714442</v>
      </c>
      <c r="AK69" s="7">
        <f>IF(AI69="",0,IF(EXACT(RIGHT(AI69,2),"dB"),IF(ABS(ABS(VALUE(LEFT(AI69,FIND(" ",AI69,1))))-AJ69)&lt;=0.5,1,-1),-1))</f>
        <v>1</v>
      </c>
      <c r="AL69" s="34">
        <v>1.095</v>
      </c>
      <c r="AM69" s="35">
        <f>((0.16*(200+K69*10+L69)/(2+K69/10))-0.16*(200+K69*10+L69)/(6+L69/10))/10</f>
        <v>1.0954761904761905</v>
      </c>
      <c r="AN69" s="7">
        <f>IF(AL69="",0,IF(ABS(VALUE(AL69)-AM69)&lt;=0.05,1,-1))</f>
        <v>1</v>
      </c>
      <c r="AO69" s="34" t="s">
        <v>387</v>
      </c>
      <c r="AP69" s="35">
        <f>((0.16*(200+K69*10+L69)/(2+K69/10))-0.16*(200+K69*10+L69)/(6+L69/10))/(10+J69)</f>
        <v>0.60859788359788358</v>
      </c>
      <c r="AQ69" s="7">
        <f>IF(AO69="",0,IF(EXACT(RIGHT(AO69,2),"m2"),IF(ABS(VALUE(LEFT(AO69,FIND(" ",AO69,1)))-AP69)&lt;=0.05,1,-1),-1))</f>
        <v>1</v>
      </c>
      <c r="AR69" s="47">
        <f>M69+P69+S69+V69+Y69+AB69+AE69+AH69+AK69+AN69+AQ69</f>
        <v>7</v>
      </c>
    </row>
    <row r="70" spans="1:44" ht="12.75" x14ac:dyDescent="0.2">
      <c r="A70" s="50">
        <v>68</v>
      </c>
      <c r="B70" s="33">
        <v>41950.768421250003</v>
      </c>
      <c r="C70" s="34" t="s">
        <v>393</v>
      </c>
      <c r="D70" s="34" t="s">
        <v>394</v>
      </c>
      <c r="E70" s="17">
        <v>241040</v>
      </c>
      <c r="F70" s="6">
        <v>1</v>
      </c>
      <c r="G70" s="6">
        <f>INT(E70/100000)</f>
        <v>2</v>
      </c>
      <c r="H70" s="6">
        <f>INT(($E70-100000*G70)/10000)</f>
        <v>4</v>
      </c>
      <c r="I70" s="6">
        <f>INT(($E70-100000*G70-10000*H70)/1000)</f>
        <v>1</v>
      </c>
      <c r="J70" s="6">
        <f>INT(($E70-100000*$G70-10000*$H70-1000*$I70)/100)</f>
        <v>0</v>
      </c>
      <c r="K70" s="6">
        <f>INT(($E70-100000*$G70-10000*$H70-1000*$I70-100*$J70)/10)</f>
        <v>4</v>
      </c>
      <c r="L70" s="6">
        <f>INT(($E70-100000*$G70-10000*$H70-1000*$I70-100*$J70-10*$K70))</f>
        <v>0</v>
      </c>
      <c r="M70" s="7">
        <v>2</v>
      </c>
      <c r="N70" s="18"/>
      <c r="O70" s="76">
        <f>10*LOG10((10^((100+10*LOG10(1/(4*PI()*(3+J70/2)^2)))/10)+10^((100-3+10*LOG10(1/(4*PI()*(3+J70/2)^2)))/10))/10^((100+10*LOG10(4*(1+L70/10)/(0.16*(2000+K70*100))))/10))</f>
        <v>1.0525372201463314</v>
      </c>
      <c r="P70" s="7">
        <f>IF(N70="",0,IF(EXACT(RIGHT(N70,2),"dB"),IF(ABS(VALUE(LEFT(N70,FIND(" ",N70,1)))-O70)&lt;=0.5,1,-1),-1))</f>
        <v>0</v>
      </c>
      <c r="Q70" s="18"/>
      <c r="R70" s="35">
        <f>(10^((100-3+10*LOG10(1/(4*PI()*(3+J70/2)^2)))/10)*COS((90-(30+L70*6))/180*PI()))/(10^((100+10*LOG10(1/(4*PI()*(3+J70/2)^2)))/10)+10^((100-3+10*LOG10(1/(4*PI()*(3+J70/2)^2)))/10))</f>
        <v>0.16693028770843932</v>
      </c>
      <c r="S70" s="7">
        <f>IF(Q70="",0,IF(ABS(VALUE(Q70)-R70)&lt;=0.05,1,-1))</f>
        <v>0</v>
      </c>
      <c r="T70" s="18"/>
      <c r="U70" s="76">
        <f>10*LOG10(10^((100+10*LOG10(1/(4*PI()*(3+J70/2)^2)))/10)+10^((100-3+10*LOG10(1/(4*PI()*(3+J70/2)^2)))/10)+10^((100+10*LOG10(4*(1+L70/10)/(0.16*(2000+K70*100))))/10))-100+31</f>
        <v>14.745664547345513</v>
      </c>
      <c r="V70" s="7">
        <f>IF(T70="",0,IF(EXACT(RIGHT(T70,2),"dB"),IF(ABS(VALUE(LEFT(T70,FIND(" ",T70,1)))-U70)&lt;=0.5,1,-1),-1))</f>
        <v>0</v>
      </c>
      <c r="W70" s="58">
        <v>0.44408999999999998</v>
      </c>
      <c r="X70" s="35">
        <f>(0.5+L70/20)/(1+10^(-(5+K70)/10))</f>
        <v>0.44409211511094154</v>
      </c>
      <c r="Y70" s="7">
        <f>IF(W70="",0,IF(ABS(VALUE(W70)-X70)&lt;=0.05,1,-1))</f>
        <v>1</v>
      </c>
      <c r="Z70" s="34" t="s">
        <v>396</v>
      </c>
      <c r="AA70" s="76">
        <f>10*LOG10(1+((100+K70*10+L70)*(0.5+J70/20))/((0.1+J70/100)*(6*(5+L70/2)^2)))</f>
        <v>7.5332766665861151</v>
      </c>
      <c r="AB70" s="7">
        <f>IF(Z70="",0,IF(EXACT(RIGHT(Z70,2),"dB"),IF(ABS(VALUE(LEFT(Z70,FIND(" ",Z70,1)))-AA70)&lt;=0.5,1,-1),-1))</f>
        <v>1</v>
      </c>
      <c r="AC70" s="34">
        <v>0.4</v>
      </c>
      <c r="AD70" s="35">
        <f>0.3+L70/30+0.1</f>
        <v>0.4</v>
      </c>
      <c r="AE70" s="7">
        <f>IF(AC70="",0,IF(ABS(VALUE(AC70)-AD70)&lt;=0.05,1,-1))</f>
        <v>1</v>
      </c>
      <c r="AF70" s="34">
        <v>0.6</v>
      </c>
      <c r="AG70" s="35">
        <f>1-AD70</f>
        <v>0.6</v>
      </c>
      <c r="AH70" s="7">
        <f>IF(AF70="",0,IF(ABS(VALUE(AF70)-AG70)&lt;=0.05,1,-1))</f>
        <v>1</v>
      </c>
      <c r="AI70" s="34" t="s">
        <v>395</v>
      </c>
      <c r="AJ70" s="76">
        <f>-10*LOG10(1-(0.3+K70/20))</f>
        <v>3.0102999566398121</v>
      </c>
      <c r="AK70" s="7">
        <f>IF(AI70="",0,IF(EXACT(RIGHT(AI70,2),"dB"),IF(ABS(ABS(VALUE(LEFT(AI70,FIND(" ",AI70,1))))-AJ70)&lt;=0.5,1,-1),-1))</f>
        <v>-1</v>
      </c>
      <c r="AL70" s="34">
        <v>0.96</v>
      </c>
      <c r="AM70" s="35">
        <f>((0.16*(200+K70*10+L70)/(2+K70/10))-0.16*(200+K70*10+L70)/(6+L70/10))/10</f>
        <v>0.96000000000000019</v>
      </c>
      <c r="AN70" s="7">
        <f>IF(AL70="",0,IF(ABS(VALUE(AL70)-AM70)&lt;=0.05,1,-1))</f>
        <v>1</v>
      </c>
      <c r="AO70" s="34" t="s">
        <v>397</v>
      </c>
      <c r="AP70" s="35">
        <f>((0.16*(200+K70*10+L70)/(2+K70/10))-0.16*(200+K70*10+L70)/(6+L70/10))/(10+J70)</f>
        <v>0.96000000000000019</v>
      </c>
      <c r="AQ70" s="7">
        <f>IF(AO70="",0,IF(EXACT(RIGHT(AO70,2),"m2"),IF(ABS(VALUE(LEFT(AO70,FIND(" ",AO70,1)))-AP70)&lt;=0.05,1,-1),-1))</f>
        <v>1</v>
      </c>
      <c r="AR70" s="47">
        <f>M70+P70+S70+V70+Y70+AB70+AE70+AH70+AK70+AN70+AQ70</f>
        <v>7</v>
      </c>
    </row>
    <row r="71" spans="1:44" ht="12.75" x14ac:dyDescent="0.2">
      <c r="A71" s="50">
        <v>69</v>
      </c>
      <c r="B71" s="33">
        <v>41950.768847673615</v>
      </c>
      <c r="C71" s="34" t="s">
        <v>474</v>
      </c>
      <c r="D71" s="34" t="s">
        <v>475</v>
      </c>
      <c r="E71" s="17">
        <v>244433</v>
      </c>
      <c r="F71" s="6">
        <v>1</v>
      </c>
      <c r="G71" s="6">
        <f>INT(E71/100000)</f>
        <v>2</v>
      </c>
      <c r="H71" s="6">
        <f>INT(($E71-100000*G71)/10000)</f>
        <v>4</v>
      </c>
      <c r="I71" s="6">
        <f>INT(($E71-100000*G71-10000*H71)/1000)</f>
        <v>4</v>
      </c>
      <c r="J71" s="6">
        <f>INT(($E71-100000*$G71-10000*$H71-1000*$I71)/100)</f>
        <v>4</v>
      </c>
      <c r="K71" s="6">
        <f>INT(($E71-100000*$G71-10000*$H71-1000*$I71-100*$J71)/10)</f>
        <v>3</v>
      </c>
      <c r="L71" s="6">
        <f>INT(($E71-100000*$G71-10000*$H71-1000*$I71-100*$J71-10*$K71))</f>
        <v>3</v>
      </c>
      <c r="M71" s="7">
        <v>2</v>
      </c>
      <c r="N71" s="18"/>
      <c r="O71" s="76">
        <f>10*LOG10((10^((100+10*LOG10(1/(4*PI()*(3+J71/2)^2)))/10)+10^((100-3+10*LOG10(1/(4*PI()*(3+J71/2)^2)))/10))/10^((100+10*LOG10(4*(1+L71/10)/(0.16*(2000+K71*100))))/10))</f>
        <v>-4.7087053521892912</v>
      </c>
      <c r="P71" s="7">
        <f>IF(N71="",0,IF(EXACT(RIGHT(N71,2),"dB"),IF(ABS(VALUE(LEFT(N71,FIND(" ",N71,1)))-O71)&lt;=0.5,1,-1),-1))</f>
        <v>0</v>
      </c>
      <c r="Q71" s="18"/>
      <c r="R71" s="35">
        <f>(10^((100-3+10*LOG10(1/(4*PI()*(3+J71/2)^2)))/10)*COS((90-(30+L71*6))/180*PI()))/(10^((100+10*LOG10(1/(4*PI()*(3+J71/2)^2)))/10)+10^((100-3+10*LOG10(1/(4*PI()*(3+J71/2)^2)))/10))</f>
        <v>0.24810675905195809</v>
      </c>
      <c r="S71" s="7">
        <f>IF(Q71="",0,IF(ABS(VALUE(Q71)-R71)&lt;=0.05,1,-1))</f>
        <v>0</v>
      </c>
      <c r="T71" s="18"/>
      <c r="U71" s="76">
        <f>10*LOG10(10^((100+10*LOG10(1/(4*PI()*(3+J71/2)^2)))/10)+10^((100-3+10*LOG10(1/(4*PI()*(3+J71/2)^2)))/10)+10^((100+10*LOG10(4*(1+L71/10)/(0.16*(2000+K71*100))))/10))-100+31</f>
        <v>13.766653959184509</v>
      </c>
      <c r="V71" s="7">
        <f>IF(T71="",0,IF(EXACT(RIGHT(T71,2),"dB"),IF(ABS(VALUE(LEFT(T71,FIND(" ",T71,1)))-U71)&lt;=0.5,1,-1),-1))</f>
        <v>0</v>
      </c>
      <c r="W71" s="58">
        <v>0.56100000000000005</v>
      </c>
      <c r="X71" s="35">
        <f>(0.5+L71/20)/(1+10^(-(5+K71)/10))</f>
        <v>0.56107552240791358</v>
      </c>
      <c r="Y71" s="7">
        <f>IF(W71="",0,IF(ABS(VALUE(W71)-X71)&lt;=0.05,1,-1))</f>
        <v>1</v>
      </c>
      <c r="Z71" s="34" t="s">
        <v>477</v>
      </c>
      <c r="AA71" s="76">
        <f>10*LOG10(1+((100+K71*10+L71)*(0.5+J71/20))/((0.1+J71/100)*(6*(5+L71/2)^2)))</f>
        <v>5.5910119697247227</v>
      </c>
      <c r="AB71" s="7">
        <f>IF(Z71="",0,IF(EXACT(RIGHT(Z71,2),"dB"),IF(ABS(VALUE(LEFT(Z71,FIND(" ",Z71,1)))-AA71)&lt;=0.5,1,-1),-1))</f>
        <v>-1</v>
      </c>
      <c r="AC71" s="34">
        <v>0.5</v>
      </c>
      <c r="AD71" s="35">
        <f>0.3+L71/30+0.1</f>
        <v>0.5</v>
      </c>
      <c r="AE71" s="7">
        <f>IF(AC71="",0,IF(ABS(VALUE(AC71)-AD71)&lt;=0.05,1,-1))</f>
        <v>1</v>
      </c>
      <c r="AF71" s="34">
        <v>0.5</v>
      </c>
      <c r="AG71" s="35">
        <f>1-AD71</f>
        <v>0.5</v>
      </c>
      <c r="AH71" s="7">
        <f>IF(AF71="",0,IF(ABS(VALUE(AF71)-AG71)&lt;=0.05,1,-1))</f>
        <v>1</v>
      </c>
      <c r="AI71" s="34" t="s">
        <v>476</v>
      </c>
      <c r="AJ71" s="76">
        <f>-10*LOG10(1-(0.3+K71/20))</f>
        <v>2.5963731050575611</v>
      </c>
      <c r="AK71" s="7">
        <f>IF(AI71="",0,IF(EXACT(RIGHT(AI71,2),"dB"),IF(ABS(ABS(VALUE(LEFT(AI71,FIND(" ",AI71,1))))-AJ71)&lt;=0.5,1,-1),-1))</f>
        <v>1</v>
      </c>
      <c r="AL71" s="34">
        <v>1.0289999999999999</v>
      </c>
      <c r="AM71" s="35">
        <f>((0.16*(200+K71*10+L71)/(2+K71/10))-0.16*(200+K71*10+L71)/(6+L71/10))/10</f>
        <v>1.0291235334713598</v>
      </c>
      <c r="AN71" s="7">
        <f>IF(AL71="",0,IF(ABS(VALUE(AL71)-AM71)&lt;=0.05,1,-1))</f>
        <v>1</v>
      </c>
      <c r="AO71" s="34" t="s">
        <v>478</v>
      </c>
      <c r="AP71" s="35">
        <f>((0.16*(200+K71*10+L71)/(2+K71/10))-0.16*(200+K71*10+L71)/(6+L71/10))/(10+J71)</f>
        <v>0.7350882381938284</v>
      </c>
      <c r="AQ71" s="7">
        <f>IF(AO71="",0,IF(EXACT(RIGHT(AO71,2),"m2"),IF(ABS(VALUE(LEFT(AO71,FIND(" ",AO71,1)))-AP71)&lt;=0.05,1,-1),-1))</f>
        <v>1</v>
      </c>
      <c r="AR71" s="47">
        <f>M71+P71+S71+V71+Y71+AB71+AE71+AH71+AK71+AN71+AQ71</f>
        <v>7</v>
      </c>
    </row>
    <row r="72" spans="1:44" ht="12.75" x14ac:dyDescent="0.2">
      <c r="A72" s="50">
        <v>70</v>
      </c>
      <c r="B72" s="33">
        <v>41950.768897685186</v>
      </c>
      <c r="C72" s="34" t="s">
        <v>484</v>
      </c>
      <c r="D72" s="34" t="s">
        <v>485</v>
      </c>
      <c r="E72" s="17">
        <v>239609</v>
      </c>
      <c r="F72" s="6">
        <v>1</v>
      </c>
      <c r="G72" s="6">
        <f>INT(E72/100000)</f>
        <v>2</v>
      </c>
      <c r="H72" s="6">
        <f>INT(($E72-100000*G72)/10000)</f>
        <v>3</v>
      </c>
      <c r="I72" s="6">
        <f>INT(($E72-100000*G72-10000*H72)/1000)</f>
        <v>9</v>
      </c>
      <c r="J72" s="6">
        <f>INT(($E72-100000*$G72-10000*$H72-1000*$I72)/100)</f>
        <v>6</v>
      </c>
      <c r="K72" s="6">
        <f>INT(($E72-100000*$G72-10000*$H72-1000*$I72-100*$J72)/10)</f>
        <v>0</v>
      </c>
      <c r="L72" s="6">
        <f>INT(($E72-100000*$G72-10000*$H72-1000*$I72-100*$J72-10*$K72))</f>
        <v>9</v>
      </c>
      <c r="M72" s="7">
        <v>2</v>
      </c>
      <c r="N72" s="18"/>
      <c r="O72" s="76">
        <f>10*LOG10((10^((100+10*LOG10(1/(4*PI()*(3+J72/2)^2)))/10)+10^((100-3+10*LOG10(1/(4*PI()*(3+J72/2)^2)))/10))/10^((100+10*LOG10(4*(1+L72/10)/(0.16*(2000+K72*100))))/10))</f>
        <v>-8.5474111631378342</v>
      </c>
      <c r="P72" s="7">
        <f>IF(N72="",0,IF(EXACT(RIGHT(N72,2),"dB"),IF(ABS(VALUE(LEFT(N72,FIND(" ",N72,1)))-O72)&lt;=0.5,1,-1),-1))</f>
        <v>0</v>
      </c>
      <c r="Q72" s="18"/>
      <c r="R72" s="35">
        <f>(10^((100-3+10*LOG10(1/(4*PI()*(3+J72/2)^2)))/10)*COS((90-(30+L72*6))/180*PI()))/(10^((100+10*LOG10(1/(4*PI()*(3+J72/2)^2)))/10)+10^((100-3+10*LOG10(1/(4*PI()*(3+J72/2)^2)))/10))</f>
        <v>0.33203165225233644</v>
      </c>
      <c r="S72" s="7">
        <f>IF(Q72="",0,IF(ABS(VALUE(Q72)-R72)&lt;=0.05,1,-1))</f>
        <v>0</v>
      </c>
      <c r="T72" s="18"/>
      <c r="U72" s="76">
        <f>10*LOG10(10^((100+10*LOG10(1/(4*PI()*(3+J72/2)^2)))/10)+10^((100-3+10*LOG10(1/(4*PI()*(3+J72/2)^2)))/10)+10^((100+10*LOG10(4*(1+L72/10)/(0.16*(2000+K72*100))))/10))-100+31</f>
        <v>15.324618209767721</v>
      </c>
      <c r="V72" s="7">
        <f>IF(T72="",0,IF(EXACT(RIGHT(T72,2),"dB"),IF(ABS(VALUE(LEFT(T72,FIND(" ",T72,1)))-U72)&lt;=0.5,1,-1),-1))</f>
        <v>0</v>
      </c>
      <c r="W72" s="58">
        <v>0.72199999999999998</v>
      </c>
      <c r="X72" s="35">
        <f>(0.5+L72/20)/(1+10^(-(5+K72)/10))</f>
        <v>0.72175958031555987</v>
      </c>
      <c r="Y72" s="7">
        <f>IF(W72="",0,IF(ABS(VALUE(W72)-X72)&lt;=0.05,1,-1))</f>
        <v>1</v>
      </c>
      <c r="Z72" s="34" t="s">
        <v>487</v>
      </c>
      <c r="AA72" s="76">
        <f>10*LOG10(1+((100+K72*10+L72)*(0.5+J72/20))/((0.1+J72/100)*(6*(5+L72/2)^2)))</f>
        <v>3.0243126969520411</v>
      </c>
      <c r="AB72" s="7">
        <f>IF(Z72="",0,IF(EXACT(RIGHT(Z72,2),"dB"),IF(ABS(VALUE(LEFT(Z72,FIND(" ",Z72,1)))-AA72)&lt;=0.5,1,-1),-1))</f>
        <v>1</v>
      </c>
      <c r="AC72" s="34">
        <v>0.7</v>
      </c>
      <c r="AD72" s="35">
        <f>0.3+L72/30+0.1</f>
        <v>0.7</v>
      </c>
      <c r="AE72" s="7">
        <f>IF(AC72="",0,IF(ABS(VALUE(AC72)-AD72)&lt;=0.05,1,-1))</f>
        <v>1</v>
      </c>
      <c r="AF72" s="34">
        <v>0.3</v>
      </c>
      <c r="AG72" s="35">
        <f>1-AD72</f>
        <v>0.30000000000000004</v>
      </c>
      <c r="AH72" s="7">
        <f>IF(AF72="",0,IF(ABS(VALUE(AF72)-AG72)&lt;=0.05,1,-1))</f>
        <v>1</v>
      </c>
      <c r="AI72" s="34" t="s">
        <v>486</v>
      </c>
      <c r="AJ72" s="76">
        <f>-10*LOG10(1-(0.3+K72/20))</f>
        <v>1.5490195998574319</v>
      </c>
      <c r="AK72" s="7">
        <f>IF(AI72="",0,IF(EXACT(RIGHT(AI72,2),"dB"),IF(ABS(ABS(VALUE(LEFT(AI72,FIND(" ",AI72,1))))-AJ72)&lt;=0.5,1,-1),-1))</f>
        <v>-1</v>
      </c>
      <c r="AL72" s="34">
        <v>1.1870000000000001</v>
      </c>
      <c r="AM72" s="35">
        <f>((0.16*(200+K72*10+L72)/(2+K72/10))-0.16*(200+K72*10+L72)/(6+L72/10))/10</f>
        <v>1.1873623188405795</v>
      </c>
      <c r="AN72" s="7">
        <f>IF(AL72="",0,IF(ABS(VALUE(AL72)-AM72)&lt;=0.05,1,-1))</f>
        <v>1</v>
      </c>
      <c r="AO72" s="34" t="s">
        <v>488</v>
      </c>
      <c r="AP72" s="35">
        <f>((0.16*(200+K72*10+L72)/(2+K72/10))-0.16*(200+K72*10+L72)/(6+L72/10))/(10+J72)</f>
        <v>0.74210144927536226</v>
      </c>
      <c r="AQ72" s="7">
        <f>IF(AO72="",0,IF(EXACT(RIGHT(AO72,2),"m2"),IF(ABS(VALUE(LEFT(AO72,FIND(" ",AO72,1)))-AP72)&lt;=0.05,1,-1),-1))</f>
        <v>1</v>
      </c>
      <c r="AR72" s="47">
        <f>M72+P72+S72+V72+Y72+AB72+AE72+AH72+AK72+AN72+AQ72</f>
        <v>7</v>
      </c>
    </row>
    <row r="73" spans="1:44" ht="12.75" x14ac:dyDescent="0.2">
      <c r="A73" s="50">
        <v>71</v>
      </c>
      <c r="B73" s="33">
        <v>41950.769105104162</v>
      </c>
      <c r="C73" s="34" t="s">
        <v>533</v>
      </c>
      <c r="D73" s="34" t="s">
        <v>534</v>
      </c>
      <c r="E73" s="17">
        <v>243377</v>
      </c>
      <c r="F73" s="6">
        <v>1</v>
      </c>
      <c r="G73" s="6">
        <f>INT(E73/100000)</f>
        <v>2</v>
      </c>
      <c r="H73" s="6">
        <f>INT(($E73-100000*G73)/10000)</f>
        <v>4</v>
      </c>
      <c r="I73" s="6">
        <f>INT(($E73-100000*G73-10000*H73)/1000)</f>
        <v>3</v>
      </c>
      <c r="J73" s="6">
        <f>INT(($E73-100000*$G73-10000*$H73-1000*$I73)/100)</f>
        <v>3</v>
      </c>
      <c r="K73" s="6">
        <f>INT(($E73-100000*$G73-10000*$H73-1000*$I73-100*$J73)/10)</f>
        <v>7</v>
      </c>
      <c r="L73" s="6">
        <f>INT(($E73-100000*$G73-10000*$H73-1000*$I73-100*$J73-10*$K73))</f>
        <v>7</v>
      </c>
      <c r="M73" s="7">
        <v>2</v>
      </c>
      <c r="N73" s="18"/>
      <c r="O73" s="76">
        <f>10*LOG10((10^((100+10*LOG10(1/(4*PI()*(3+J73/2)^2)))/10)+10^((100-3+10*LOG10(1/(4*PI()*(3+J73/2)^2)))/10))/10^((100+10*LOG10(4*(1+L73/10)/(0.16*(2000+K73*100))))/10))</f>
        <v>-4.2622519502762248</v>
      </c>
      <c r="P73" s="7">
        <f>IF(N73="",0,IF(EXACT(RIGHT(N73,2),"dB"),IF(ABS(VALUE(LEFT(N73,FIND(" ",N73,1)))-O73)&lt;=0.5,1,-1),-1))</f>
        <v>0</v>
      </c>
      <c r="Q73" s="18"/>
      <c r="R73" s="35">
        <f>(10^((100-3+10*LOG10(1/(4*PI()*(3+J73/2)^2)))/10)*COS((90-(30+L73*6))/180*PI()))/(10^((100+10*LOG10(1/(4*PI()*(3+J73/2)^2)))/10)+10^((100-3+10*LOG10(1/(4*PI()*(3+J73/2)^2)))/10))</f>
        <v>0.31752027578427117</v>
      </c>
      <c r="S73" s="7">
        <f>IF(Q73="",0,IF(ABS(VALUE(Q73)-R73)&lt;=0.05,1,-1))</f>
        <v>0</v>
      </c>
      <c r="T73" s="18"/>
      <c r="U73" s="76">
        <f>10*LOG10(10^((100+10*LOG10(1/(4*PI()*(3+J73/2)^2)))/10)+10^((100-3+10*LOG10(1/(4*PI()*(3+J73/2)^2)))/10)+10^((100+10*LOG10(4*(1+L73/10)/(0.16*(2000+K73*100))))/10))-100+31</f>
        <v>14.352579346881043</v>
      </c>
      <c r="V73" s="7">
        <f>IF(T73="",0,IF(EXACT(RIGHT(T73,2),"dB"),IF(ABS(VALUE(LEFT(T73,FIND(" ",T73,1)))-U73)&lt;=0.5,1,-1),-1))</f>
        <v>0</v>
      </c>
      <c r="W73" s="58">
        <v>0.79900000000000004</v>
      </c>
      <c r="X73" s="35">
        <f>(0.5+L73/20)/(1+10^(-(5+K73)/10))</f>
        <v>0.7995516983626475</v>
      </c>
      <c r="Y73" s="7">
        <f>IF(W73="",0,IF(ABS(VALUE(W73)-X73)&lt;=0.05,1,-1))</f>
        <v>1</v>
      </c>
      <c r="Z73" s="34" t="s">
        <v>535</v>
      </c>
      <c r="AA73" s="76">
        <f>10*LOG10(1+((100+K73*10+L73)*(0.5+J73/20))/((0.1+J73/100)*(6*(5+L73/2)^2)))</f>
        <v>4.8309103231722403</v>
      </c>
      <c r="AB73" s="7">
        <f>IF(Z73="",0,IF(EXACT(RIGHT(Z73,2),"dB"),IF(ABS(VALUE(LEFT(Z73,FIND(" ",Z73,1)))-AA73)&lt;=0.5,1,-1),-1))</f>
        <v>1</v>
      </c>
      <c r="AC73" s="34">
        <v>0.63300000000000001</v>
      </c>
      <c r="AD73" s="35">
        <f>0.3+L73/30+0.1</f>
        <v>0.6333333333333333</v>
      </c>
      <c r="AE73" s="7">
        <f>IF(AC73="",0,IF(ABS(VALUE(AC73)-AD73)&lt;=0.05,1,-1))</f>
        <v>1</v>
      </c>
      <c r="AF73" s="34">
        <v>0.36699999999999999</v>
      </c>
      <c r="AG73" s="35">
        <f>1-AD73</f>
        <v>0.3666666666666667</v>
      </c>
      <c r="AH73" s="7">
        <f>IF(AF73="",0,IF(ABS(VALUE(AF73)-AG73)&lt;=0.05,1,-1))</f>
        <v>1</v>
      </c>
      <c r="AI73" s="18"/>
      <c r="AJ73" s="76">
        <f>-10*LOG10(1-(0.3+K73/20))</f>
        <v>4.5593195564972424</v>
      </c>
      <c r="AK73" s="7">
        <f>IF(AI73="",0,IF(EXACT(RIGHT(AI73,2),"dB"),IF(ABS(ABS(VALUE(LEFT(AI73,FIND(" ",AI73,1))))-AJ73)&lt;=0.5,1,-1),-1))</f>
        <v>0</v>
      </c>
      <c r="AL73" s="34">
        <v>0.97899999999999998</v>
      </c>
      <c r="AM73" s="35">
        <f>((0.16*(200+K73*10+L73)/(2+K73/10))-0.16*(200+K73*10+L73)/(6+L73/10))/10</f>
        <v>0.9799889441680486</v>
      </c>
      <c r="AN73" s="7">
        <f>IF(AL73="",0,IF(ABS(VALUE(AL73)-AM73)&lt;=0.05,1,-1))</f>
        <v>1</v>
      </c>
      <c r="AO73" s="18"/>
      <c r="AP73" s="35">
        <f>((0.16*(200+K73*10+L73)/(2+K73/10))-0.16*(200+K73*10+L73)/(6+L73/10))/(10+J73)</f>
        <v>0.75383764936003739</v>
      </c>
      <c r="AQ73" s="7">
        <f>IF(AO73="",0,IF(EXACT(RIGHT(AO73,2),"m2"),IF(ABS(VALUE(LEFT(AO73,FIND(" ",AO73,1)))-AP73)&lt;=0.05,1,-1),-1))</f>
        <v>0</v>
      </c>
      <c r="AR73" s="47">
        <f>M73+P73+S73+V73+Y73+AB73+AE73+AH73+AK73+AN73+AQ73</f>
        <v>7</v>
      </c>
    </row>
    <row r="74" spans="1:44" ht="12.75" x14ac:dyDescent="0.2">
      <c r="A74" s="50">
        <v>72</v>
      </c>
      <c r="B74" s="33">
        <v>41950.769206631943</v>
      </c>
      <c r="C74" s="34" t="s">
        <v>551</v>
      </c>
      <c r="D74" s="34" t="s">
        <v>552</v>
      </c>
      <c r="E74" s="17">
        <v>253994</v>
      </c>
      <c r="F74" s="6">
        <v>1</v>
      </c>
      <c r="G74" s="6">
        <f>INT(E74/100000)</f>
        <v>2</v>
      </c>
      <c r="H74" s="6">
        <f>INT(($E74-100000*G74)/10000)</f>
        <v>5</v>
      </c>
      <c r="I74" s="6">
        <f>INT(($E74-100000*G74-10000*H74)/1000)</f>
        <v>3</v>
      </c>
      <c r="J74" s="6">
        <f>INT(($E74-100000*$G74-10000*$H74-1000*$I74)/100)</f>
        <v>9</v>
      </c>
      <c r="K74" s="6">
        <f>INT(($E74-100000*$G74-10000*$H74-1000*$I74-100*$J74)/10)</f>
        <v>9</v>
      </c>
      <c r="L74" s="6">
        <f>INT(($E74-100000*$G74-10000*$H74-1000*$I74-100*$J74-10*$K74))</f>
        <v>4</v>
      </c>
      <c r="M74" s="7">
        <v>2</v>
      </c>
      <c r="N74" s="18"/>
      <c r="O74" s="76">
        <f>10*LOG10((10^((100+10*LOG10(1/(4*PI()*(3+J74/2)^2)))/10)+10^((100-3+10*LOG10(1/(4*PI()*(3+J74/2)^2)))/10))/10^((100+10*LOG10(4*(1+L74/10)/(0.16*(2000+K74*100))))/10))</f>
        <v>-7.5456757482032888</v>
      </c>
      <c r="P74" s="7">
        <f>IF(N74="",0,IF(EXACT(RIGHT(N74,2),"dB"),IF(ABS(VALUE(LEFT(N74,FIND(" ",N74,1)))-O74)&lt;=0.5,1,-1),-1))</f>
        <v>0</v>
      </c>
      <c r="Q74" s="18"/>
      <c r="R74" s="35">
        <f>(10^((100-3+10*LOG10(1/(4*PI()*(3+J74/2)^2)))/10)*COS((90-(30+L74*6))/180*PI()))/(10^((100+10*LOG10(1/(4*PI()*(3+J74/2)^2)))/10)+10^((100-3+10*LOG10(1/(4*PI()*(3+J74/2)^2)))/10))</f>
        <v>0.27009887926405324</v>
      </c>
      <c r="S74" s="7">
        <f>IF(Q74="",0,IF(ABS(VALUE(Q74)-R74)&lt;=0.05,1,-1))</f>
        <v>0</v>
      </c>
      <c r="T74" s="18"/>
      <c r="U74" s="76">
        <f>10*LOG10(10^((100+10*LOG10(1/(4*PI()*(3+J74/2)^2)))/10)+10^((100-3+10*LOG10(1/(4*PI()*(3+J74/2)^2)))/10)+10^((100+10*LOG10(4*(1+L74/10)/(0.16*(2000+K74*100))))/10))-100+31</f>
        <v>12.520653600330348</v>
      </c>
      <c r="V74" s="7">
        <f>IF(T74="",0,IF(EXACT(RIGHT(T74,2),"dB"),IF(ABS(VALUE(LEFT(T74,FIND(" ",T74,1)))-U74)&lt;=0.5,1,-1),-1))</f>
        <v>0</v>
      </c>
      <c r="W74" s="58">
        <v>0.67300000000000004</v>
      </c>
      <c r="X74" s="35">
        <f>(0.5+L74/20)/(1+10^(-(5+K74)/10))</f>
        <v>0.67319944728242165</v>
      </c>
      <c r="Y74" s="7">
        <f>IF(W74="",0,IF(ABS(VALUE(W74)-X74)&lt;=0.05,1,-1))</f>
        <v>1</v>
      </c>
      <c r="Z74" s="34" t="s">
        <v>554</v>
      </c>
      <c r="AA74" s="76">
        <f>10*LOG10(1+((100+K74*10+L74)*(0.5+J74/20))/((0.1+J74/100)*(6*(5+L74/2)^2)))</f>
        <v>6.3339974353420878</v>
      </c>
      <c r="AB74" s="7">
        <f>IF(Z74="",0,IF(EXACT(RIGHT(Z74,2),"dB"),IF(ABS(VALUE(LEFT(Z74,FIND(" ",Z74,1)))-AA74)&lt;=0.5,1,-1),-1))</f>
        <v>-1</v>
      </c>
      <c r="AC74" s="34">
        <v>0.54</v>
      </c>
      <c r="AD74" s="35">
        <f>0.3+L74/30+0.1</f>
        <v>0.53333333333333333</v>
      </c>
      <c r="AE74" s="7">
        <f>IF(AC74="",0,IF(ABS(VALUE(AC74)-AD74)&lt;=0.05,1,-1))</f>
        <v>1</v>
      </c>
      <c r="AF74" s="34">
        <v>0.46</v>
      </c>
      <c r="AG74" s="35">
        <f>1-AD74</f>
        <v>0.46666666666666667</v>
      </c>
      <c r="AH74" s="7">
        <f>IF(AF74="",0,IF(ABS(VALUE(AF74)-AG74)&lt;=0.05,1,-1))</f>
        <v>1</v>
      </c>
      <c r="AI74" s="36" t="s">
        <v>553</v>
      </c>
      <c r="AJ74" s="76">
        <f>-10*LOG10(1-(0.3+K74/20))</f>
        <v>6.0205999132796242</v>
      </c>
      <c r="AK74" s="7">
        <f>IF(AI74="",0,IF(EXACT(RIGHT(AI74,2),"dB"),IF(ABS(ABS(VALUE(LEFT(AI74,FIND(" ",AI74,1))))-AJ74)&lt;=0.5,1,-1),-1))</f>
        <v>1</v>
      </c>
      <c r="AL74" s="34">
        <v>0.88700000000000001</v>
      </c>
      <c r="AM74" s="35">
        <f>((0.16*(200+K74*10+L74)/(2+K74/10))-0.16*(200+K74*10+L74)/(6+L74/10))/10</f>
        <v>0.88706896551724146</v>
      </c>
      <c r="AN74" s="7">
        <f>IF(AL74="",0,IF(ABS(VALUE(AL74)-AM74)&lt;=0.05,1,-1))</f>
        <v>1</v>
      </c>
      <c r="AO74" s="34" t="s">
        <v>555</v>
      </c>
      <c r="AP74" s="35">
        <f>((0.16*(200+K74*10+L74)/(2+K74/10))-0.16*(200+K74*10+L74)/(6+L74/10))/(10+J74)</f>
        <v>0.46687840290381127</v>
      </c>
      <c r="AQ74" s="7">
        <f>IF(AO74="",0,IF(EXACT(RIGHT(AO74,2),"m2"),IF(ABS(VALUE(LEFT(AO74,FIND(" ",AO74,1)))-AP74)&lt;=0.05,1,-1),-1))</f>
        <v>1</v>
      </c>
      <c r="AR74" s="47">
        <f>M74+P74+S74+V74+Y74+AB74+AE74+AH74+AK74+AN74+AQ74</f>
        <v>7</v>
      </c>
    </row>
    <row r="75" spans="1:44" ht="12.75" x14ac:dyDescent="0.2">
      <c r="A75" s="50">
        <v>73</v>
      </c>
      <c r="B75" s="33">
        <v>41950.769414803246</v>
      </c>
      <c r="C75" s="34" t="s">
        <v>562</v>
      </c>
      <c r="D75" s="34" t="s">
        <v>563</v>
      </c>
      <c r="E75" s="17">
        <v>232430</v>
      </c>
      <c r="F75" s="6">
        <v>1</v>
      </c>
      <c r="G75" s="6">
        <f>INT(E75/100000)</f>
        <v>2</v>
      </c>
      <c r="H75" s="6">
        <f>INT(($E75-100000*G75)/10000)</f>
        <v>3</v>
      </c>
      <c r="I75" s="6">
        <f>INT(($E75-100000*G75-10000*H75)/1000)</f>
        <v>2</v>
      </c>
      <c r="J75" s="6">
        <f>INT(($E75-100000*$G75-10000*$H75-1000*$I75)/100)</f>
        <v>4</v>
      </c>
      <c r="K75" s="6">
        <f>INT(($E75-100000*$G75-10000*$H75-1000*$I75-100*$J75)/10)</f>
        <v>3</v>
      </c>
      <c r="L75" s="6">
        <f>INT(($E75-100000*$G75-10000*$H75-1000*$I75-100*$J75-10*$K75))</f>
        <v>0</v>
      </c>
      <c r="M75" s="7">
        <v>2</v>
      </c>
      <c r="N75" s="18"/>
      <c r="O75" s="76">
        <f>10*LOG10((10^((100+10*LOG10(1/(4*PI()*(3+J75/2)^2)))/10)+10^((100-3+10*LOG10(1/(4*PI()*(3+J75/2)^2)))/10))/10^((100+10*LOG10(4*(1+L75/10)/(0.16*(2000+K75*100))))/10))</f>
        <v>-3.5692718291209142</v>
      </c>
      <c r="P75" s="7">
        <f>IF(N75="",0,IF(EXACT(RIGHT(N75,2),"dB"),IF(ABS(VALUE(LEFT(N75,FIND(" ",N75,1)))-O75)&lt;=0.5,1,-1),-1))</f>
        <v>0</v>
      </c>
      <c r="Q75" s="18"/>
      <c r="R75" s="35">
        <f>(10^((100-3+10*LOG10(1/(4*PI()*(3+J75/2)^2)))/10)*COS((90-(30+L75*6))/180*PI()))/(10^((100+10*LOG10(1/(4*PI()*(3+J75/2)^2)))/10)+10^((100-3+10*LOG10(1/(4*PI()*(3+J75/2)^2)))/10))</f>
        <v>0.16693028770843893</v>
      </c>
      <c r="S75" s="7">
        <f>IF(Q75="",0,IF(ABS(VALUE(Q75)-R75)&lt;=0.05,1,-1))</f>
        <v>0</v>
      </c>
      <c r="T75" s="18"/>
      <c r="U75" s="76">
        <f>10*LOG10(10^((100+10*LOG10(1/(4*PI()*(3+J75/2)^2)))/10)+10^((100-3+10*LOG10(1/(4*PI()*(3+J75/2)^2)))/10)+10^((100+10*LOG10(4*(1+L75/10)/(0.16*(2000+K75*100))))/10))-100+31</f>
        <v>12.944586318462243</v>
      </c>
      <c r="V75" s="7">
        <f>IF(T75="",0,IF(EXACT(RIGHT(T75,2),"dB"),IF(ABS(VALUE(LEFT(T75,FIND(" ",T75,1)))-U75)&lt;=0.5,1,-1),-1))</f>
        <v>0</v>
      </c>
      <c r="W75" s="58">
        <v>0.43159999999999998</v>
      </c>
      <c r="X75" s="35">
        <f>(0.5+L75/20)/(1+10^(-(5+K75)/10))</f>
        <v>0.43159655569839506</v>
      </c>
      <c r="Y75" s="7">
        <f>IF(W75="",0,IF(ABS(VALUE(W75)-X75)&lt;=0.05,1,-1))</f>
        <v>1</v>
      </c>
      <c r="Z75" s="34" t="s">
        <v>565</v>
      </c>
      <c r="AA75" s="76">
        <f>10*LOG10(1+((100+K75*10+L75)*(0.5+J75/20))/((0.1+J75/100)*(6*(5+L75/2)^2)))</f>
        <v>7.2699872793626232</v>
      </c>
      <c r="AB75" s="7">
        <f>IF(Z75="",0,IF(EXACT(RIGHT(Z75,2),"dB"),IF(ABS(VALUE(LEFT(Z75,FIND(" ",Z75,1)))-AA75)&lt;=0.5,1,-1),-1))</f>
        <v>-1</v>
      </c>
      <c r="AC75" s="34">
        <v>0.4</v>
      </c>
      <c r="AD75" s="35">
        <f>0.3+L75/30+0.1</f>
        <v>0.4</v>
      </c>
      <c r="AE75" s="7">
        <f>IF(AC75="",0,IF(ABS(VALUE(AC75)-AD75)&lt;=0.05,1,-1))</f>
        <v>1</v>
      </c>
      <c r="AF75" s="34">
        <v>0.6</v>
      </c>
      <c r="AG75" s="35">
        <f>1-AD75</f>
        <v>0.6</v>
      </c>
      <c r="AH75" s="7">
        <f>IF(AF75="",0,IF(ABS(VALUE(AF75)-AG75)&lt;=0.05,1,-1))</f>
        <v>1</v>
      </c>
      <c r="AI75" s="34" t="s">
        <v>564</v>
      </c>
      <c r="AJ75" s="76">
        <f>-10*LOG10(1-(0.3+K75/20))</f>
        <v>2.5963731050575611</v>
      </c>
      <c r="AK75" s="7">
        <f>IF(AI75="",0,IF(EXACT(RIGHT(AI75,2),"dB"),IF(ABS(ABS(VALUE(LEFT(AI75,FIND(" ",AI75,1))))-AJ75)&lt;=0.5,1,-1),-1))</f>
        <v>1</v>
      </c>
      <c r="AL75" s="34">
        <v>0.98660000000000003</v>
      </c>
      <c r="AM75" s="35">
        <f>((0.16*(200+K75*10+L75)/(2+K75/10))-0.16*(200+K75*10+L75)/(6+L75/10))/10</f>
        <v>0.98666666666666702</v>
      </c>
      <c r="AN75" s="7">
        <f>IF(AL75="",0,IF(ABS(VALUE(AL75)-AM75)&lt;=0.05,1,-1))</f>
        <v>1</v>
      </c>
      <c r="AO75" s="34" t="s">
        <v>566</v>
      </c>
      <c r="AP75" s="35">
        <f>((0.16*(200+K75*10+L75)/(2+K75/10))-0.16*(200+K75*10+L75)/(6+L75/10))/(10+J75)</f>
        <v>0.70476190476190503</v>
      </c>
      <c r="AQ75" s="7">
        <f>IF(AO75="",0,IF(EXACT(RIGHT(AO75,2),"m2"),IF(ABS(VALUE(LEFT(AO75,FIND(" ",AO75,1)))-AP75)&lt;=0.05,1,-1),-1))</f>
        <v>1</v>
      </c>
      <c r="AR75" s="47">
        <f>M75+P75+S75+V75+Y75+AB75+AE75+AH75+AK75+AN75+AQ75</f>
        <v>7</v>
      </c>
    </row>
    <row r="76" spans="1:44" ht="12.75" x14ac:dyDescent="0.2">
      <c r="A76" s="50">
        <v>74</v>
      </c>
      <c r="B76" s="33">
        <v>41950.769663645828</v>
      </c>
      <c r="C76" s="34" t="s">
        <v>577</v>
      </c>
      <c r="D76" s="34" t="s">
        <v>578</v>
      </c>
      <c r="E76" s="17">
        <v>243209</v>
      </c>
      <c r="F76" s="6">
        <v>1</v>
      </c>
      <c r="G76" s="6">
        <f>INT(E76/100000)</f>
        <v>2</v>
      </c>
      <c r="H76" s="6">
        <f>INT(($E76-100000*G76)/10000)</f>
        <v>4</v>
      </c>
      <c r="I76" s="6">
        <f>INT(($E76-100000*G76-10000*H76)/1000)</f>
        <v>3</v>
      </c>
      <c r="J76" s="6">
        <f>INT(($E76-100000*$G76-10000*$H76-1000*$I76)/100)</f>
        <v>2</v>
      </c>
      <c r="K76" s="6">
        <f>INT(($E76-100000*$G76-10000*$H76-1000*$I76-100*$J76)/10)</f>
        <v>0</v>
      </c>
      <c r="L76" s="6">
        <f>INT(($E76-100000*$G76-10000*$H76-1000*$I76-100*$J76-10*$K76))</f>
        <v>9</v>
      </c>
      <c r="M76" s="7">
        <v>2</v>
      </c>
      <c r="N76" s="18"/>
      <c r="O76" s="76">
        <f>10*LOG10((10^((100+10*LOG10(1/(4*PI()*(3+J76/2)^2)))/10)+10^((100-3+10*LOG10(1/(4*PI()*(3+J76/2)^2)))/10))/10^((100+10*LOG10(4*(1+L76/10)/(0.16*(2000+K76*100))))/10))</f>
        <v>-5.0255859820242055</v>
      </c>
      <c r="P76" s="7">
        <f>IF(N76="",0,IF(EXACT(RIGHT(N76,2),"dB"),IF(ABS(VALUE(LEFT(N76,FIND(" ",N76,1)))-O76)&lt;=0.5,1,-1),-1))</f>
        <v>0</v>
      </c>
      <c r="Q76" s="18"/>
      <c r="R76" s="35">
        <f>(10^((100-3+10*LOG10(1/(4*PI()*(3+J76/2)^2)))/10)*COS((90-(30+L76*6))/180*PI()))/(10^((100+10*LOG10(1/(4*PI()*(3+J76/2)^2)))/10)+10^((100-3+10*LOG10(1/(4*PI()*(3+J76/2)^2)))/10))</f>
        <v>0.33203165225233566</v>
      </c>
      <c r="S76" s="7">
        <f>IF(Q76="",0,IF(ABS(VALUE(Q76)-R76)&lt;=0.05,1,-1))</f>
        <v>0</v>
      </c>
      <c r="T76" s="18"/>
      <c r="U76" s="76">
        <f>10*LOG10(10^((100+10*LOG10(1/(4*PI()*(3+J76/2)^2)))/10)+10^((100-3+10*LOG10(1/(4*PI()*(3+J76/2)^2)))/10)+10^((100+10*LOG10(4*(1+L76/10)/(0.16*(2000+K76*100))))/10))-100+31</f>
        <v>15.943813252543237</v>
      </c>
      <c r="V76" s="7">
        <f>IF(T76="",0,IF(EXACT(RIGHT(T76,2),"dB"),IF(ABS(VALUE(LEFT(T76,FIND(" ",T76,1)))-U76)&lt;=0.5,1,-1),-1))</f>
        <v>0</v>
      </c>
      <c r="W76" s="58">
        <v>0.72175999999999996</v>
      </c>
      <c r="X76" s="35">
        <f>(0.5+L76/20)/(1+10^(-(5+K76)/10))</f>
        <v>0.72175958031555987</v>
      </c>
      <c r="Y76" s="7">
        <f>IF(W76="",0,IF(ABS(VALUE(W76)-X76)&lt;=0.05,1,-1))</f>
        <v>1</v>
      </c>
      <c r="Z76" s="34" t="s">
        <v>580</v>
      </c>
      <c r="AA76" s="76">
        <f>10*LOG10(1+((100+K76*10+L76)*(0.5+J76/20))/((0.1+J76/100)*(6*(5+L76/2)^2)))</f>
        <v>3.0243126969520411</v>
      </c>
      <c r="AB76" s="7">
        <f>IF(Z76="",0,IF(EXACT(RIGHT(Z76,2),"dB"),IF(ABS(VALUE(LEFT(Z76,FIND(" ",Z76,1)))-AA76)&lt;=0.5,1,-1),-1))</f>
        <v>-1</v>
      </c>
      <c r="AC76" s="34">
        <v>0.7</v>
      </c>
      <c r="AD76" s="35">
        <f>0.3+L76/30+0.1</f>
        <v>0.7</v>
      </c>
      <c r="AE76" s="7">
        <f>IF(AC76="",0,IF(ABS(VALUE(AC76)-AD76)&lt;=0.05,1,-1))</f>
        <v>1</v>
      </c>
      <c r="AF76" s="34">
        <v>0.3</v>
      </c>
      <c r="AG76" s="35">
        <f>1-AD76</f>
        <v>0.30000000000000004</v>
      </c>
      <c r="AH76" s="7">
        <f>IF(AF76="",0,IF(ABS(VALUE(AF76)-AG76)&lt;=0.05,1,-1))</f>
        <v>1</v>
      </c>
      <c r="AI76" s="34" t="s">
        <v>579</v>
      </c>
      <c r="AJ76" s="76">
        <f>-10*LOG10(1-(0.3+K76/20))</f>
        <v>1.5490195998574319</v>
      </c>
      <c r="AK76" s="7">
        <f>IF(AI76="",0,IF(EXACT(RIGHT(AI76,2),"dB"),IF(ABS(ABS(VALUE(LEFT(AI76,FIND(" ",AI76,1))))-AJ76)&lt;=0.5,1,-1),-1))</f>
        <v>1</v>
      </c>
      <c r="AL76" s="34">
        <v>1.1873</v>
      </c>
      <c r="AM76" s="35">
        <f>((0.16*(200+K76*10+L76)/(2+K76/10))-0.16*(200+K76*10+L76)/(6+L76/10))/10</f>
        <v>1.1873623188405795</v>
      </c>
      <c r="AN76" s="7">
        <f>IF(AL76="",0,IF(ABS(VALUE(AL76)-AM76)&lt;=0.05,1,-1))</f>
        <v>1</v>
      </c>
      <c r="AO76" s="34" t="s">
        <v>581</v>
      </c>
      <c r="AP76" s="35">
        <f>((0.16*(200+K76*10+L76)/(2+K76/10))-0.16*(200+K76*10+L76)/(6+L76/10))/(10+J76)</f>
        <v>0.98946859903381634</v>
      </c>
      <c r="AQ76" s="7">
        <f>IF(AO76="",0,IF(EXACT(RIGHT(AO76,2),"m2"),IF(ABS(VALUE(LEFT(AO76,FIND(" ",AO76,1)))-AP76)&lt;=0.05,1,-1),-1))</f>
        <v>1</v>
      </c>
      <c r="AR76" s="47">
        <f>M76+P76+S76+V76+Y76+AB76+AE76+AH76+AK76+AN76+AQ76</f>
        <v>7</v>
      </c>
    </row>
    <row r="77" spans="1:44" ht="12.75" x14ac:dyDescent="0.2">
      <c r="A77" s="50">
        <v>75</v>
      </c>
      <c r="B77" s="33">
        <v>41950.769773761574</v>
      </c>
      <c r="C77" s="34" t="s">
        <v>588</v>
      </c>
      <c r="D77" s="34" t="s">
        <v>589</v>
      </c>
      <c r="E77" s="17">
        <v>244432</v>
      </c>
      <c r="F77" s="6">
        <v>1</v>
      </c>
      <c r="G77" s="6">
        <f>INT(E77/100000)</f>
        <v>2</v>
      </c>
      <c r="H77" s="6">
        <f>INT(($E77-100000*G77)/10000)</f>
        <v>4</v>
      </c>
      <c r="I77" s="6">
        <f>INT(($E77-100000*G77-10000*H77)/1000)</f>
        <v>4</v>
      </c>
      <c r="J77" s="6">
        <f>INT(($E77-100000*$G77-10000*$H77-1000*$I77)/100)</f>
        <v>4</v>
      </c>
      <c r="K77" s="6">
        <f>INT(($E77-100000*$G77-10000*$H77-1000*$I77-100*$J77)/10)</f>
        <v>3</v>
      </c>
      <c r="L77" s="6">
        <f>INT(($E77-100000*$G77-10000*$H77-1000*$I77-100*$J77-10*$K77))</f>
        <v>2</v>
      </c>
      <c r="M77" s="7">
        <v>2</v>
      </c>
      <c r="N77" s="18"/>
      <c r="O77" s="76">
        <f>10*LOG10((10^((100+10*LOG10(1/(4*PI()*(3+J77/2)^2)))/10)+10^((100-3+10*LOG10(1/(4*PI()*(3+J77/2)^2)))/10))/10^((100+10*LOG10(4*(1+L77/10)/(0.16*(2000+K77*100))))/10))</f>
        <v>-4.361084289597164</v>
      </c>
      <c r="P77" s="7">
        <f>IF(N77="",0,IF(EXACT(RIGHT(N77,2),"dB"),IF(ABS(VALUE(LEFT(N77,FIND(" ",N77,1)))-O77)&lt;=0.5,1,-1),-1))</f>
        <v>0</v>
      </c>
      <c r="Q77" s="18"/>
      <c r="R77" s="35">
        <f>(10^((100-3+10*LOG10(1/(4*PI()*(3+J77/2)^2)))/10)*COS((90-(30+L77*6))/180*PI()))/(10^((100+10*LOG10(1/(4*PI()*(3+J77/2)^2)))/10)+10^((100-3+10*LOG10(1/(4*PI()*(3+J77/2)^2)))/10))</f>
        <v>0.22339632926801273</v>
      </c>
      <c r="S77" s="7">
        <f>IF(Q77="",0,IF(ABS(VALUE(Q77)-R77)&lt;=0.05,1,-1))</f>
        <v>0</v>
      </c>
      <c r="T77" s="18"/>
      <c r="U77" s="76">
        <f>10*LOG10(10^((100+10*LOG10(1/(4*PI()*(3+J77/2)^2)))/10)+10^((100-3+10*LOG10(1/(4*PI()*(3+J77/2)^2)))/10)+10^((100+10*LOG10(4*(1+L77/10)/(0.16*(2000+K77*100))))/10))-100+31</f>
        <v>13.509541398126544</v>
      </c>
      <c r="V77" s="7">
        <f>IF(T77="",0,IF(EXACT(RIGHT(T77,2),"dB"),IF(ABS(VALUE(LEFT(T77,FIND(" ",T77,1)))-U77)&lt;=0.5,1,-1),-1))</f>
        <v>0</v>
      </c>
      <c r="W77" s="58">
        <v>0.47470000000000001</v>
      </c>
      <c r="X77" s="35">
        <f>(0.5+L77/20)/(1+10^(-(5+K77)/10))</f>
        <v>0.517915866838074</v>
      </c>
      <c r="Y77" s="7">
        <f>IF(W77="",0,IF(ABS(VALUE(W77)-X77)&lt;=0.05,1,-1))</f>
        <v>1</v>
      </c>
      <c r="Z77" s="34" t="s">
        <v>591</v>
      </c>
      <c r="AA77" s="76">
        <f>10*LOG10(1+((100+K77*10+L77)*(0.5+J77/20))/((0.1+J77/100)*(6*(5+L77/2)^2)))</f>
        <v>6.0805035501714979</v>
      </c>
      <c r="AB77" s="7">
        <f>IF(Z77="",0,IF(EXACT(RIGHT(Z77,2),"dB"),IF(ABS(VALUE(LEFT(Z77,FIND(" ",Z77,1)))-AA77)&lt;=0.5,1,-1),-1))</f>
        <v>-1</v>
      </c>
      <c r="AC77" s="34">
        <v>0.5</v>
      </c>
      <c r="AD77" s="35">
        <f>0.3+L77/30+0.1</f>
        <v>0.46666666666666667</v>
      </c>
      <c r="AE77" s="7">
        <f>IF(AC77="",0,IF(ABS(VALUE(AC77)-AD77)&lt;=0.05,1,-1))</f>
        <v>1</v>
      </c>
      <c r="AF77" s="34">
        <v>0.5</v>
      </c>
      <c r="AG77" s="35">
        <f>1-AD77</f>
        <v>0.53333333333333333</v>
      </c>
      <c r="AH77" s="7">
        <f>IF(AF77="",0,IF(ABS(VALUE(AF77)-AG77)&lt;=0.05,1,-1))</f>
        <v>1</v>
      </c>
      <c r="AI77" s="34" t="s">
        <v>590</v>
      </c>
      <c r="AJ77" s="76">
        <f>-10*LOG10(1-(0.3+K77/20))</f>
        <v>2.5963731050575611</v>
      </c>
      <c r="AK77" s="7">
        <f>IF(AI77="",0,IF(EXACT(RIGHT(AI77,2),"dB"),IF(ABS(ABS(VALUE(LEFT(AI77,FIND(" ",AI77,1))))-AJ77)&lt;=0.5,1,-1),-1))</f>
        <v>1</v>
      </c>
      <c r="AL77" s="34">
        <v>1.02</v>
      </c>
      <c r="AM77" s="35">
        <f>((0.16*(200+K77*10+L77)/(2+K77/10))-0.16*(200+K77*10+L77)/(6+L77/10))/10</f>
        <v>1.0152033660589059</v>
      </c>
      <c r="AN77" s="7">
        <f>IF(AL77="",0,IF(ABS(VALUE(AL77)-AM77)&lt;=0.05,1,-1))</f>
        <v>1</v>
      </c>
      <c r="AO77" s="34" t="s">
        <v>592</v>
      </c>
      <c r="AP77" s="35">
        <f>((0.16*(200+K77*10+L77)/(2+K77/10))-0.16*(200+K77*10+L77)/(6+L77/10))/(10+J77)</f>
        <v>0.72514526147064717</v>
      </c>
      <c r="AQ77" s="7">
        <f>IF(AO77="",0,IF(EXACT(RIGHT(AO77,2),"m2"),IF(ABS(VALUE(LEFT(AO77,FIND(" ",AO77,1)))-AP77)&lt;=0.05,1,-1),-1))</f>
        <v>1</v>
      </c>
      <c r="AR77" s="47">
        <f>M77+P77+S77+V77+Y77+AB77+AE77+AH77+AK77+AN77+AQ77</f>
        <v>7</v>
      </c>
    </row>
    <row r="78" spans="1:44" ht="12.75" x14ac:dyDescent="0.2">
      <c r="A78" s="50">
        <v>76</v>
      </c>
      <c r="B78" s="33">
        <v>41950.770217129633</v>
      </c>
      <c r="C78" s="34" t="s">
        <v>659</v>
      </c>
      <c r="D78" s="34" t="s">
        <v>660</v>
      </c>
      <c r="E78" s="17">
        <v>239612</v>
      </c>
      <c r="F78" s="6">
        <v>1</v>
      </c>
      <c r="G78" s="6">
        <f>INT(E78/100000)</f>
        <v>2</v>
      </c>
      <c r="H78" s="6">
        <f>INT(($E78-100000*G78)/10000)</f>
        <v>3</v>
      </c>
      <c r="I78" s="6">
        <f>INT(($E78-100000*G78-10000*H78)/1000)</f>
        <v>9</v>
      </c>
      <c r="J78" s="6">
        <f>INT(($E78-100000*$G78-10000*$H78-1000*$I78)/100)</f>
        <v>6</v>
      </c>
      <c r="K78" s="6">
        <f>INT(($E78-100000*$G78-10000*$H78-1000*$I78-100*$J78)/10)</f>
        <v>1</v>
      </c>
      <c r="L78" s="6">
        <f>INT(($E78-100000*$G78-10000*$H78-1000*$I78-100*$J78-10*$K78))</f>
        <v>2</v>
      </c>
      <c r="M78" s="7">
        <v>2</v>
      </c>
      <c r="N78" s="18"/>
      <c r="O78" s="76">
        <f>10*LOG10((10^((100+10*LOG10(1/(4*PI()*(3+J78/2)^2)))/10)+10^((100-3+10*LOG10(1/(4*PI()*(3+J78/2)^2)))/10))/10^((100+10*LOG10(4*(1+L78/10)/(0.16*(2000+K78*100))))/10))</f>
        <v>-6.3397946233864113</v>
      </c>
      <c r="P78" s="7">
        <f>IF(N78="",0,IF(EXACT(RIGHT(N78,2),"dB"),IF(ABS(VALUE(LEFT(N78,FIND(" ",N78,1)))-O78)&lt;=0.5,1,-1),-1))</f>
        <v>0</v>
      </c>
      <c r="Q78" s="18"/>
      <c r="R78" s="35">
        <f>(10^((100-3+10*LOG10(1/(4*PI()*(3+J78/2)^2)))/10)*COS((90-(30+L78*6))/180*PI()))/(10^((100+10*LOG10(1/(4*PI()*(3+J78/2)^2)))/10)+10^((100-3+10*LOG10(1/(4*PI()*(3+J78/2)^2)))/10))</f>
        <v>0.22339632926801328</v>
      </c>
      <c r="S78" s="7">
        <f>IF(Q78="",0,IF(ABS(VALUE(Q78)-R78)&lt;=0.05,1,-1))</f>
        <v>0</v>
      </c>
      <c r="T78" s="18"/>
      <c r="U78" s="76">
        <f>10*LOG10(10^((100+10*LOG10(1/(4*PI()*(3+J78/2)^2)))/10)+10^((100-3+10*LOG10(1/(4*PI()*(3+J78/2)^2)))/10)+10^((100+10*LOG10(4*(1+L78/10)/(0.16*(2000+K78*100))))/10))-100+31</f>
        <v>13.45613003647037</v>
      </c>
      <c r="V78" s="7">
        <f>IF(T78="",0,IF(EXACT(RIGHT(T78,2),"dB"),IF(ABS(VALUE(LEFT(T78,FIND(" ",T78,1)))-U78)&lt;=0.5,1,-1),-1))</f>
        <v>0</v>
      </c>
      <c r="W78" s="58">
        <v>0.48</v>
      </c>
      <c r="X78" s="35">
        <f>(0.5+L78/20)/(1+10^(-(5+K78)/10))</f>
        <v>0.47954399465213893</v>
      </c>
      <c r="Y78" s="7">
        <f>IF(W78="",0,IF(ABS(VALUE(W78)-X78)&lt;=0.05,1,-1))</f>
        <v>1</v>
      </c>
      <c r="Z78" s="36">
        <v>5.5540000000000003</v>
      </c>
      <c r="AA78" s="76">
        <f>10*LOG10(1+((100+K78*10+L78)*(0.5+J78/20))/((0.1+J78/100)*(6*(5+L78/2)^2)))</f>
        <v>5.5540797010725749</v>
      </c>
      <c r="AB78" s="7">
        <f>IF(Z78="",0,IF(EXACT(RIGHT(Z78,2),"dB"),IF(ABS(VALUE(LEFT(Z78,FIND(" ",Z78,1)))-AA78)&lt;=0.5,1,-1),-1))</f>
        <v>-1</v>
      </c>
      <c r="AC78" s="34">
        <v>0.46666659999999999</v>
      </c>
      <c r="AD78" s="35">
        <f>0.3+L78/30+0.1</f>
        <v>0.46666666666666667</v>
      </c>
      <c r="AE78" s="7">
        <f>IF(AC78="",0,IF(ABS(VALUE(AC78)-AD78)&lt;=0.05,1,-1))</f>
        <v>1</v>
      </c>
      <c r="AF78" s="34">
        <v>0.53333299999999995</v>
      </c>
      <c r="AG78" s="35">
        <f>1-AD78</f>
        <v>0.53333333333333333</v>
      </c>
      <c r="AH78" s="7">
        <f>IF(AF78="",0,IF(ABS(VALUE(AF78)-AG78)&lt;=0.05,1,-1))</f>
        <v>1</v>
      </c>
      <c r="AI78" s="34" t="s">
        <v>661</v>
      </c>
      <c r="AJ78" s="76">
        <f>-10*LOG10(1-(0.3+K78/20))</f>
        <v>1.8708664335714442</v>
      </c>
      <c r="AK78" s="7">
        <f>IF(AI78="",0,IF(EXACT(RIGHT(AI78,2),"dB"),IF(ABS(ABS(VALUE(LEFT(AI78,FIND(" ",AI78,1))))-AJ78)&lt;=0.5,1,-1),-1))</f>
        <v>1</v>
      </c>
      <c r="AL78" s="34">
        <v>1.0680000000000001</v>
      </c>
      <c r="AM78" s="35">
        <f>((0.16*(200+K78*10+L78)/(2+K78/10))-0.16*(200+K78*10+L78)/(6+L78/10))/10</f>
        <v>1.0681413210445467</v>
      </c>
      <c r="AN78" s="7">
        <f>IF(AL78="",0,IF(ABS(VALUE(AL78)-AM78)&lt;=0.05,1,-1))</f>
        <v>1</v>
      </c>
      <c r="AO78" s="34" t="s">
        <v>662</v>
      </c>
      <c r="AP78" s="35">
        <f>((0.16*(200+K78*10+L78)/(2+K78/10))-0.16*(200+K78*10+L78)/(6+L78/10))/(10+J78)</f>
        <v>0.66758832565284176</v>
      </c>
      <c r="AQ78" s="7">
        <f>IF(AO78="",0,IF(EXACT(RIGHT(AO78,2),"m2"),IF(ABS(VALUE(LEFT(AO78,FIND(" ",AO78,1)))-AP78)&lt;=0.05,1,-1),-1))</f>
        <v>1</v>
      </c>
      <c r="AR78" s="47">
        <f>M78+P78+S78+V78+Y78+AB78+AE78+AH78+AK78+AN78+AQ78</f>
        <v>7</v>
      </c>
    </row>
    <row r="79" spans="1:44" ht="12.75" x14ac:dyDescent="0.2">
      <c r="A79" s="50">
        <v>77</v>
      </c>
      <c r="B79" s="33">
        <v>41950.770631215273</v>
      </c>
      <c r="C79" s="34" t="s">
        <v>342</v>
      </c>
      <c r="D79" s="34" t="s">
        <v>343</v>
      </c>
      <c r="E79" s="17">
        <v>240826</v>
      </c>
      <c r="F79" s="6">
        <v>1</v>
      </c>
      <c r="G79" s="6">
        <f>INT(E79/100000)</f>
        <v>2</v>
      </c>
      <c r="H79" s="6">
        <f>INT(($E79-100000*G79)/10000)</f>
        <v>4</v>
      </c>
      <c r="I79" s="6">
        <f>INT(($E79-100000*G79-10000*H79)/1000)</f>
        <v>0</v>
      </c>
      <c r="J79" s="6">
        <f>INT(($E79-100000*$G79-10000*$H79-1000*$I79)/100)</f>
        <v>8</v>
      </c>
      <c r="K79" s="6">
        <f>INT(($E79-100000*$G79-10000*$H79-1000*$I79-100*$J79)/10)</f>
        <v>2</v>
      </c>
      <c r="L79" s="6">
        <f>INT(($E79-100000*$G79-10000*$H79-1000*$I79-100*$J79-10*$K79))</f>
        <v>6</v>
      </c>
      <c r="M79" s="7">
        <v>2</v>
      </c>
      <c r="N79" s="34" t="s">
        <v>344</v>
      </c>
      <c r="O79" s="76">
        <f>10*LOG10((10^((100+10*LOG10(1/(4*PI()*(3+J79/2)^2)))/10)+10^((100-3+10*LOG10(1/(4*PI()*(3+J79/2)^2)))/10))/10^((100+10*LOG10(4*(1+L79/10)/(0.16*(2000+K79*100))))/10))</f>
        <v>-8.726083921198807</v>
      </c>
      <c r="P79" s="7">
        <f>IF(N79="",0,IF(EXACT(RIGHT(N79,2),"dB"),IF(ABS(VALUE(LEFT(N79,FIND(" ",N79,1)))-O79)&lt;=0.5,1,-1),-1))</f>
        <v>-1</v>
      </c>
      <c r="Q79" s="18"/>
      <c r="R79" s="35">
        <f>(10^((100-3+10*LOG10(1/(4*PI()*(3+J79/2)^2)))/10)*COS((90-(30+L79*6))/180*PI()))/(10^((100+10*LOG10(1/(4*PI()*(3+J79/2)^2)))/10)+10^((100-3+10*LOG10(1/(4*PI()*(3+J79/2)^2)))/10))</f>
        <v>0.3049968121580337</v>
      </c>
      <c r="S79" s="7">
        <f>IF(Q79="",0,IF(ABS(VALUE(Q79)-R79)&lt;=0.05,1,-1))</f>
        <v>0</v>
      </c>
      <c r="T79" s="34" t="s">
        <v>345</v>
      </c>
      <c r="U79" s="76">
        <f>10*LOG10(10^((100+10*LOG10(1/(4*PI()*(3+J79/2)^2)))/10)+10^((100-3+10*LOG10(1/(4*PI()*(3+J79/2)^2)))/10)+10^((100+10*LOG10(4*(1+L79/10)/(0.16*(2000+K79*100))))/10))-100+31</f>
        <v>14.142842660042859</v>
      </c>
      <c r="V79" s="7">
        <f>IF(T79="",0,IF(EXACT(RIGHT(T79,2),"dB"),IF(ABS(VALUE(LEFT(T79,FIND(" ",T79,1)))-U79)&lt;=0.5,1,-1),-1))</f>
        <v>1</v>
      </c>
      <c r="W79" s="58">
        <v>0.66693000000000002</v>
      </c>
      <c r="X79" s="35">
        <f>(0.5+L79/20)/(1+10^(-(5+K79)/10))</f>
        <v>0.66692997534675047</v>
      </c>
      <c r="Y79" s="7">
        <f>IF(W79="",0,IF(ABS(VALUE(W79)-X79)&lt;=0.05,1,-1))</f>
        <v>1</v>
      </c>
      <c r="Z79" s="34" t="s">
        <v>347</v>
      </c>
      <c r="AA79" s="76">
        <f>10*LOG10(1+((100+K79*10+L79)*(0.5+J79/20))/((0.1+J79/100)*(6*(5+L79/2)^2)))</f>
        <v>4.2170673062978636</v>
      </c>
      <c r="AB79" s="7">
        <f>IF(Z79="",0,IF(EXACT(RIGHT(Z79,2),"dB"),IF(ABS(VALUE(LEFT(Z79,FIND(" ",Z79,1)))-AA79)&lt;=0.5,1,-1),-1))</f>
        <v>-1</v>
      </c>
      <c r="AC79" s="34">
        <v>0.6</v>
      </c>
      <c r="AD79" s="35">
        <f>0.3+L79/30+0.1</f>
        <v>0.6</v>
      </c>
      <c r="AE79" s="7">
        <f>IF(AC79="",0,IF(ABS(VALUE(AC79)-AD79)&lt;=0.05,1,-1))</f>
        <v>1</v>
      </c>
      <c r="AF79" s="34">
        <v>0.4</v>
      </c>
      <c r="AG79" s="35">
        <f>1-AD79</f>
        <v>0.4</v>
      </c>
      <c r="AH79" s="7">
        <f>IF(AF79="",0,IF(ABS(VALUE(AF79)-AG79)&lt;=0.05,1,-1))</f>
        <v>1</v>
      </c>
      <c r="AI79" s="34" t="s">
        <v>346</v>
      </c>
      <c r="AJ79" s="76">
        <f>-10*LOG10(1-(0.3+K79/20))</f>
        <v>2.2184874961635641</v>
      </c>
      <c r="AK79" s="7">
        <f>IF(AI79="",0,IF(EXACT(RIGHT(AI79,2),"dB"),IF(ABS(ABS(VALUE(LEFT(AI79,FIND(" ",AI79,1))))-AJ79)&lt;=0.5,1,-1),-1))</f>
        <v>1</v>
      </c>
      <c r="AL79" s="34">
        <v>1.0956999999999999</v>
      </c>
      <c r="AM79" s="35">
        <f>((0.16*(200+K79*10+L79)/(2+K79/10))-0.16*(200+K79*10+L79)/(6+L79/10))/10</f>
        <v>1.0957575757575757</v>
      </c>
      <c r="AN79" s="7">
        <f>IF(AL79="",0,IF(ABS(VALUE(AL79)-AM79)&lt;=0.05,1,-1))</f>
        <v>1</v>
      </c>
      <c r="AO79" s="34" t="s">
        <v>348</v>
      </c>
      <c r="AP79" s="35">
        <f>((0.16*(200+K79*10+L79)/(2+K79/10))-0.16*(200+K79*10+L79)/(6+L79/10))/(10+J79)</f>
        <v>0.60875420875420871</v>
      </c>
      <c r="AQ79" s="7">
        <f>IF(AO79="",0,IF(EXACT(RIGHT(AO79,2),"m2"),IF(ABS(VALUE(LEFT(AO79,FIND(" ",AO79,1)))-AP79)&lt;=0.05,1,-1),-1))</f>
        <v>1</v>
      </c>
      <c r="AR79" s="47">
        <f>M79+P79+S79+V79+Y79+AB79+AE79+AH79+AK79+AN79+AQ79</f>
        <v>7</v>
      </c>
    </row>
    <row r="80" spans="1:44" ht="12.75" x14ac:dyDescent="0.2">
      <c r="A80" s="50">
        <v>78</v>
      </c>
      <c r="B80" s="33">
        <v>41950.771169259257</v>
      </c>
      <c r="C80" s="34" t="s">
        <v>741</v>
      </c>
      <c r="D80" s="34" t="s">
        <v>742</v>
      </c>
      <c r="E80" s="17">
        <v>239471</v>
      </c>
      <c r="F80" s="6">
        <v>1</v>
      </c>
      <c r="G80" s="6">
        <f>INT(E80/100000)</f>
        <v>2</v>
      </c>
      <c r="H80" s="6">
        <f>INT(($E80-100000*G80)/10000)</f>
        <v>3</v>
      </c>
      <c r="I80" s="6">
        <f>INT(($E80-100000*G80-10000*H80)/1000)</f>
        <v>9</v>
      </c>
      <c r="J80" s="6">
        <f>INT(($E80-100000*$G80-10000*$H80-1000*$I80)/100)</f>
        <v>4</v>
      </c>
      <c r="K80" s="6">
        <f>INT(($E80-100000*$G80-10000*$H80-1000*$I80-100*$J80)/10)</f>
        <v>7</v>
      </c>
      <c r="L80" s="6">
        <f>INT(($E80-100000*$G80-10000*$H80-1000*$I80-100*$J80-10*$K80))</f>
        <v>1</v>
      </c>
      <c r="M80" s="7">
        <v>2</v>
      </c>
      <c r="N80" s="18"/>
      <c r="O80" s="76">
        <f>10*LOG10((10^((100+10*LOG10(1/(4*PI()*(3+J80/2)^2)))/10)+10^((100-3+10*LOG10(1/(4*PI()*(3+J80/2)^2)))/10))/10^((100+10*LOG10(4*(1+L80/10)/(0.16*(2000+K80*100))))/10))</f>
        <v>-3.2868393992892244</v>
      </c>
      <c r="P80" s="7">
        <f>IF(N80="",0,IF(EXACT(RIGHT(N80,2),"dB"),IF(ABS(VALUE(LEFT(N80,FIND(" ",N80,1)))-O80)&lt;=0.5,1,-1),-1))</f>
        <v>0</v>
      </c>
      <c r="Q80" s="18"/>
      <c r="R80" s="35">
        <f>(10^((100-3+10*LOG10(1/(4*PI()*(3+J80/2)^2)))/10)*COS((90-(30+L80*6))/180*PI()))/(10^((100+10*LOG10(1/(4*PI()*(3+J80/2)^2)))/10)+10^((100-3+10*LOG10(1/(4*PI()*(3+J80/2)^2)))/10))</f>
        <v>0.19623832255191975</v>
      </c>
      <c r="S80" s="7">
        <f>IF(Q80="",0,IF(ABS(VALUE(Q80)-R80)&lt;=0.05,1,-1))</f>
        <v>0</v>
      </c>
      <c r="T80" s="18"/>
      <c r="U80" s="76">
        <f>10*LOG10(10^((100+10*LOG10(1/(4*PI()*(3+J80/2)^2)))/10)+10^((100-3+10*LOG10(1/(4*PI()*(3+J80/2)^2)))/10)+10^((100+10*LOG10(4*(1+L80/10)/(0.16*(2000+K80*100))))/10))-100+31</f>
        <v>12.750364548553435</v>
      </c>
      <c r="V80" s="7">
        <f>IF(T80="",0,IF(EXACT(RIGHT(T80,2),"dB"),IF(ABS(VALUE(LEFT(T80,FIND(" ",T80,1)))-U80)&lt;=0.5,1,-1),-1))</f>
        <v>0</v>
      </c>
      <c r="W80" s="58">
        <v>0.51700000000000002</v>
      </c>
      <c r="X80" s="35">
        <f>(0.5+L80/20)/(1+10^(-(5+K80)/10))</f>
        <v>0.51735698129347785</v>
      </c>
      <c r="Y80" s="7">
        <f>IF(W80="",0,IF(ABS(VALUE(W80)-X80)&lt;=0.05,1,-1))</f>
        <v>1</v>
      </c>
      <c r="Z80" s="34" t="s">
        <v>744</v>
      </c>
      <c r="AA80" s="76">
        <f>10*LOG10(1+((100+K80*10+L80)*(0.5+J80/20))/((0.1+J80/100)*(6*(5+L80/2)^2)))</f>
        <v>7.5669267705774823</v>
      </c>
      <c r="AB80" s="7">
        <f>IF(Z80="",0,IF(EXACT(RIGHT(Z80,2),"dB"),IF(ABS(VALUE(LEFT(Z80,FIND(" ",Z80,1)))-AA80)&lt;=0.5,1,-1),-1))</f>
        <v>1</v>
      </c>
      <c r="AC80" s="34">
        <v>0.433</v>
      </c>
      <c r="AD80" s="35">
        <f>0.3+L80/30+0.1</f>
        <v>0.43333333333333335</v>
      </c>
      <c r="AE80" s="7">
        <f>IF(AC80="",0,IF(ABS(VALUE(AC80)-AD80)&lt;=0.05,1,-1))</f>
        <v>1</v>
      </c>
      <c r="AF80" s="34">
        <v>0.56599999999999995</v>
      </c>
      <c r="AG80" s="35">
        <f>1-AD80</f>
        <v>0.56666666666666665</v>
      </c>
      <c r="AH80" s="7">
        <f>IF(AF80="",0,IF(ABS(VALUE(AF80)-AG80)&lt;=0.05,1,-1))</f>
        <v>1</v>
      </c>
      <c r="AI80" s="34" t="s">
        <v>743</v>
      </c>
      <c r="AJ80" s="76">
        <f>-10*LOG10(1-(0.3+K80/20))</f>
        <v>4.5593195564972424</v>
      </c>
      <c r="AK80" s="7">
        <f>IF(AI80="",0,IF(EXACT(RIGHT(AI80,2),"dB"),IF(ABS(ABS(VALUE(LEFT(AI80,FIND(" ",AI80,1))))-AJ80)&lt;=0.5,1,-1),-1))</f>
        <v>1</v>
      </c>
      <c r="AL80" s="34">
        <v>0.89500000000000002</v>
      </c>
      <c r="AM80" s="35">
        <f>((0.16*(200+K80*10+L80)/(2+K80/10))-0.16*(200+K80*10+L80)/(6+L80/10))/10</f>
        <v>0.89510625379477804</v>
      </c>
      <c r="AN80" s="7">
        <f>IF(AL80="",0,IF(ABS(VALUE(AL80)-AM80)&lt;=0.05,1,-1))</f>
        <v>1</v>
      </c>
      <c r="AO80" s="34" t="s">
        <v>745</v>
      </c>
      <c r="AP80" s="35">
        <f>((0.16*(200+K80*10+L80)/(2+K80/10))-0.16*(200+K80*10+L80)/(6+L80/10))/(10+J80)</f>
        <v>0.63936160985341295</v>
      </c>
      <c r="AQ80" s="7">
        <f>IF(AO80="",0,IF(EXACT(RIGHT(AO80,2),"m2"),IF(ABS(VALUE(LEFT(AO80,FIND(" ",AO80,1)))-AP80)&lt;=0.05,1,-1),-1))</f>
        <v>-1</v>
      </c>
      <c r="AR80" s="47">
        <f>M80+P80+S80+V80+Y80+AB80+AE80+AH80+AK80+AN80+AQ80</f>
        <v>7</v>
      </c>
    </row>
    <row r="81" spans="1:44" ht="12.75" x14ac:dyDescent="0.2">
      <c r="A81" s="50">
        <v>79</v>
      </c>
      <c r="B81" s="33">
        <v>41950.771603587964</v>
      </c>
      <c r="C81" s="34" t="s">
        <v>726</v>
      </c>
      <c r="D81" s="34" t="s">
        <v>727</v>
      </c>
      <c r="E81" s="17">
        <v>240525</v>
      </c>
      <c r="F81" s="6">
        <v>1</v>
      </c>
      <c r="G81" s="6">
        <f>INT(E81/100000)</f>
        <v>2</v>
      </c>
      <c r="H81" s="6">
        <f>INT(($E81-100000*G81)/10000)</f>
        <v>4</v>
      </c>
      <c r="I81" s="6">
        <f>INT(($E81-100000*G81-10000*H81)/1000)</f>
        <v>0</v>
      </c>
      <c r="J81" s="6">
        <f>INT(($E81-100000*$G81-10000*$H81-1000*$I81)/100)</f>
        <v>5</v>
      </c>
      <c r="K81" s="6">
        <f>INT(($E81-100000*$G81-10000*$H81-1000*$I81-100*$J81)/10)</f>
        <v>2</v>
      </c>
      <c r="L81" s="6">
        <f>INT(($E81-100000*$G81-10000*$H81-1000*$I81-100*$J81-10*$K81))</f>
        <v>5</v>
      </c>
      <c r="M81" s="7">
        <v>2</v>
      </c>
      <c r="N81" s="18"/>
      <c r="O81" s="76">
        <f>10*LOG10((10^((100+10*LOG10(1/(4*PI()*(3+J81/2)^2)))/10)+10^((100-3+10*LOG10(1/(4*PI()*(3+J81/2)^2)))/10))/10^((100+10*LOG10(4*(1+L81/10)/(0.16*(2000+K81*100))))/10))</f>
        <v>-6.3510896747960981</v>
      </c>
      <c r="P81" s="7">
        <f>IF(N81="",0,IF(EXACT(RIGHT(N81,2),"dB"),IF(ABS(VALUE(LEFT(N81,FIND(" ",N81,1)))-O81)&lt;=0.5,1,-1),-1))</f>
        <v>0</v>
      </c>
      <c r="Q81" s="18"/>
      <c r="R81" s="35">
        <f>(10^((100-3+10*LOG10(1/(4*PI()*(3+J81/2)^2)))/10)*COS((90-(30+L81*6))/180*PI()))/(10^((100+10*LOG10(1/(4*PI()*(3+J81/2)^2)))/10)+10^((100-3+10*LOG10(1/(4*PI()*(3+J81/2)^2)))/10))</f>
        <v>0.28913173963310662</v>
      </c>
      <c r="S81" s="7">
        <f>IF(Q81="",0,IF(ABS(VALUE(Q81)-R81)&lt;=0.05,1,-1))</f>
        <v>0</v>
      </c>
      <c r="T81" s="18"/>
      <c r="U81" s="76">
        <f>10*LOG10(10^((100+10*LOG10(1/(4*PI()*(3+J81/2)^2)))/10)+10^((100-3+10*LOG10(1/(4*PI()*(3+J81/2)^2)))/10)+10^((100+10*LOG10(4*(1+L81/10)/(0.16*(2000+K81*100))))/10))-100+31</f>
        <v>14.221069443165291</v>
      </c>
      <c r="V81" s="7">
        <f>IF(T81="",0,IF(EXACT(RIGHT(T81,2),"dB"),IF(ABS(VALUE(LEFT(T81,FIND(" ",T81,1)))-U81)&lt;=0.5,1,-1),-1))</f>
        <v>0</v>
      </c>
      <c r="W81" s="58">
        <v>0.625</v>
      </c>
      <c r="X81" s="35">
        <f>(0.5+L81/20)/(1+10^(-(5+K81)/10))</f>
        <v>0.62524685188757856</v>
      </c>
      <c r="Y81" s="7">
        <f>IF(W81="",0,IF(ABS(VALUE(W81)-X81)&lt;=0.05,1,-1))</f>
        <v>1</v>
      </c>
      <c r="Z81" s="34" t="s">
        <v>729</v>
      </c>
      <c r="AA81" s="76">
        <f>10*LOG10(1+((100+K81*10+L81)*(0.5+J81/20))/((0.1+J81/100)*(6*(5+L81/2)^2)))</f>
        <v>4.5512696101349457</v>
      </c>
      <c r="AB81" s="7">
        <f>IF(Z81="",0,IF(EXACT(RIGHT(Z81,2),"dB"),IF(ABS(VALUE(LEFT(Z81,FIND(" ",Z81,1)))-AA81)&lt;=0.5,1,-1),-1))</f>
        <v>1</v>
      </c>
      <c r="AC81" s="34">
        <v>0.56699999999999995</v>
      </c>
      <c r="AD81" s="35">
        <f>0.3+L81/30+0.1</f>
        <v>0.56666666666666665</v>
      </c>
      <c r="AE81" s="7">
        <f>IF(AC81="",0,IF(ABS(VALUE(AC81)-AD81)&lt;=0.05,1,-1))</f>
        <v>1</v>
      </c>
      <c r="AF81" s="34">
        <v>0.433</v>
      </c>
      <c r="AG81" s="35">
        <f>1-AD81</f>
        <v>0.43333333333333335</v>
      </c>
      <c r="AH81" s="7">
        <f>IF(AF81="",0,IF(ABS(VALUE(AF81)-AG81)&lt;=0.05,1,-1))</f>
        <v>1</v>
      </c>
      <c r="AI81" s="34" t="s">
        <v>728</v>
      </c>
      <c r="AJ81" s="76">
        <f>-10*LOG10(1-(0.3+K81/20))</f>
        <v>2.2184874961635641</v>
      </c>
      <c r="AK81" s="7">
        <f>IF(AI81="",0,IF(EXACT(RIGHT(AI81,2),"dB"),IF(ABS(ABS(VALUE(LEFT(AI81,FIND(" ",AI81,1))))-AJ81)&lt;=0.5,1,-1),-1))</f>
        <v>-1</v>
      </c>
      <c r="AL81" s="34">
        <v>1.083</v>
      </c>
      <c r="AM81" s="35">
        <f>((0.16*(200+K81*10+L81)/(2+K81/10))-0.16*(200+K81*10+L81)/(6+L81/10))/10</f>
        <v>1.0825174825174826</v>
      </c>
      <c r="AN81" s="7">
        <f>IF(AL81="",0,IF(ABS(VALUE(AL81)-AM81)&lt;=0.05,1,-1))</f>
        <v>1</v>
      </c>
      <c r="AO81" s="34" t="s">
        <v>1037</v>
      </c>
      <c r="AP81" s="35">
        <f>((0.16*(200+K81*10+L81)/(2+K81/10))-0.16*(200+K81*10+L81)/(6+L81/10))/(10+J81)</f>
        <v>0.72167832167832169</v>
      </c>
      <c r="AQ81" s="7">
        <f>IF(AO81="",0,IF(EXACT(RIGHT(AO81,2),"m2"),IF(ABS(VALUE(LEFT(AO81,FIND(" ",AO81,1)))-AP81)&lt;=0.05,1,-1),-1))</f>
        <v>1</v>
      </c>
      <c r="AR81" s="47">
        <f>M81+P81+S81+V81+Y81+AB81+AE81+AH81+AK81+AN81+AQ81</f>
        <v>7</v>
      </c>
    </row>
    <row r="82" spans="1:44" ht="12.75" x14ac:dyDescent="0.2">
      <c r="A82" s="50">
        <v>80</v>
      </c>
      <c r="B82" s="33">
        <v>41950.772359513889</v>
      </c>
      <c r="C82" s="34" t="s">
        <v>831</v>
      </c>
      <c r="D82" s="34" t="s">
        <v>832</v>
      </c>
      <c r="E82" s="17">
        <v>240837</v>
      </c>
      <c r="F82" s="6">
        <v>1</v>
      </c>
      <c r="G82" s="6">
        <f>INT(E82/100000)</f>
        <v>2</v>
      </c>
      <c r="H82" s="6">
        <f>INT(($E82-100000*G82)/10000)</f>
        <v>4</v>
      </c>
      <c r="I82" s="6">
        <f>INT(($E82-100000*G82-10000*H82)/1000)</f>
        <v>0</v>
      </c>
      <c r="J82" s="6">
        <f>INT(($E82-100000*$G82-10000*$H82-1000*$I82)/100)</f>
        <v>8</v>
      </c>
      <c r="K82" s="6">
        <f>INT(($E82-100000*$G82-10000*$H82-1000*$I82-100*$J82)/10)</f>
        <v>3</v>
      </c>
      <c r="L82" s="6">
        <f>INT(($E82-100000*$G82-10000*$H82-1000*$I82-100*$J82-10*$K82))</f>
        <v>7</v>
      </c>
      <c r="M82" s="7">
        <v>2</v>
      </c>
      <c r="N82" s="18"/>
      <c r="O82" s="76">
        <f>10*LOG10((10^((100+10*LOG10(1/(4*PI()*(3+J82/2)^2)))/10)+10^((100-3+10*LOG10(1/(4*PI()*(3+J82/2)^2)))/10))/10^((100+10*LOG10(4*(1+L82/10)/(0.16*(2000+K82*100))))/10))</f>
        <v>-8.7963217564684282</v>
      </c>
      <c r="P82" s="7">
        <f>IF(N82="",0,IF(EXACT(RIGHT(N82,2),"dB"),IF(ABS(VALUE(LEFT(N82,FIND(" ",N82,1)))-O82)&lt;=0.5,1,-1),-1))</f>
        <v>0</v>
      </c>
      <c r="Q82" s="18"/>
      <c r="R82" s="35">
        <f>(10^((100-3+10*LOG10(1/(4*PI()*(3+J82/2)^2)))/10)*COS((90-(30+L82*6))/180*PI()))/(10^((100+10*LOG10(1/(4*PI()*(3+J82/2)^2)))/10)+10^((100-3+10*LOG10(1/(4*PI()*(3+J82/2)^2)))/10))</f>
        <v>0.31752027578427117</v>
      </c>
      <c r="S82" s="7">
        <f>IF(Q82="",0,IF(ABS(VALUE(Q82)-R82)&lt;=0.05,1,-1))</f>
        <v>0</v>
      </c>
      <c r="T82" s="18"/>
      <c r="U82" s="76">
        <f>10*LOG10(10^((100+10*LOG10(1/(4*PI()*(3+J82/2)^2)))/10)+10^((100-3+10*LOG10(1/(4*PI()*(3+J82/2)^2)))/10)+10^((100+10*LOG10(4*(1+L82/10)/(0.16*(2000+K82*100))))/10))-100+31</f>
        <v>14.204834922610175</v>
      </c>
      <c r="V82" s="7">
        <f>IF(T82="",0,IF(EXACT(RIGHT(T82,2),"dB"),IF(ABS(VALUE(LEFT(T82,FIND(" ",T82,1)))-U82)&lt;=0.5,1,-1),-1))</f>
        <v>0</v>
      </c>
      <c r="W82" s="58">
        <v>0.73399999999999999</v>
      </c>
      <c r="X82" s="35">
        <f>(0.5+L82/20)/(1+10^(-(5+K82)/10))</f>
        <v>0.73371414468727159</v>
      </c>
      <c r="Y82" s="7">
        <f>IF(W82="",0,IF(ABS(VALUE(W82)-X82)&lt;=0.05,1,-1))</f>
        <v>1</v>
      </c>
      <c r="Z82" s="34" t="s">
        <v>833</v>
      </c>
      <c r="AA82" s="76">
        <f>10*LOG10(1+((100+K82*10+L82)*(0.5+J82/20))/((0.1+J82/100)*(6*(5+L82/2)^2)))</f>
        <v>4.1164688662041939</v>
      </c>
      <c r="AB82" s="7">
        <f>IF(Z82="",0,IF(EXACT(RIGHT(Z82,2),"dB"),IF(ABS(VALUE(LEFT(Z82,FIND(" ",Z82,1)))-AA82)&lt;=0.5,1,-1),-1))</f>
        <v>1</v>
      </c>
      <c r="AC82" s="34">
        <v>0.63300000000000001</v>
      </c>
      <c r="AD82" s="35">
        <f>0.3+L82/30+0.1</f>
        <v>0.6333333333333333</v>
      </c>
      <c r="AE82" s="7">
        <f>IF(AC82="",0,IF(ABS(VALUE(AC82)-AD82)&lt;=0.05,1,-1))</f>
        <v>1</v>
      </c>
      <c r="AF82" s="34">
        <v>0.36599999999999999</v>
      </c>
      <c r="AG82" s="35">
        <f>1-AD82</f>
        <v>0.3666666666666667</v>
      </c>
      <c r="AH82" s="7">
        <f>IF(AF82="",0,IF(ABS(VALUE(AF82)-AG82)&lt;=0.05,1,-1))</f>
        <v>1</v>
      </c>
      <c r="AI82" s="18"/>
      <c r="AJ82" s="76">
        <f>-10*LOG10(1-(0.3+K82/20))</f>
        <v>2.5963731050575611</v>
      </c>
      <c r="AK82" s="7">
        <f>IF(AI82="",0,IF(EXACT(RIGHT(AI82,2),"dB"),IF(ABS(ABS(VALUE(LEFT(AI82,FIND(" ",AI82,1))))-AJ82)&lt;=0.5,1,-1),-1))</f>
        <v>0</v>
      </c>
      <c r="AL82" s="34">
        <v>1.0820000000000001</v>
      </c>
      <c r="AM82" s="35">
        <f>((0.16*(200+K82*10+L82)/(2+K82/10))-0.16*(200+K82*10+L82)/(6+L82/10))/10</f>
        <v>1.0827255029201819</v>
      </c>
      <c r="AN82" s="7">
        <f>IF(AL82="",0,IF(ABS(VALUE(AL82)-AM82)&lt;=0.05,1,-1))</f>
        <v>1</v>
      </c>
      <c r="AO82" s="18"/>
      <c r="AP82" s="35">
        <f>((0.16*(200+K82*10+L82)/(2+K82/10))-0.16*(200+K82*10+L82)/(6+L82/10))/(10+J82)</f>
        <v>0.60151416828898996</v>
      </c>
      <c r="AQ82" s="7">
        <f>IF(AO82="",0,IF(EXACT(RIGHT(AO82,2),"m2"),IF(ABS(VALUE(LEFT(AO82,FIND(" ",AO82,1)))-AP82)&lt;=0.05,1,-1),-1))</f>
        <v>0</v>
      </c>
      <c r="AR82" s="47">
        <f>M82+P82+S82+V82+Y82+AB82+AE82+AH82+AK82+AN82+AQ82</f>
        <v>7</v>
      </c>
    </row>
    <row r="83" spans="1:44" ht="12.75" x14ac:dyDescent="0.2">
      <c r="A83" s="50">
        <v>81</v>
      </c>
      <c r="B83" s="33">
        <v>41950.772701238428</v>
      </c>
      <c r="C83" s="34" t="s">
        <v>445</v>
      </c>
      <c r="D83" s="34" t="s">
        <v>446</v>
      </c>
      <c r="E83" s="17">
        <v>243202</v>
      </c>
      <c r="F83" s="6">
        <v>1</v>
      </c>
      <c r="G83" s="6">
        <f>INT(E83/100000)</f>
        <v>2</v>
      </c>
      <c r="H83" s="6">
        <f>INT(($E83-100000*G83)/10000)</f>
        <v>4</v>
      </c>
      <c r="I83" s="6">
        <f>INT(($E83-100000*G83-10000*H83)/1000)</f>
        <v>3</v>
      </c>
      <c r="J83" s="6">
        <f>INT(($E83-100000*$G83-10000*$H83-1000*$I83)/100)</f>
        <v>2</v>
      </c>
      <c r="K83" s="6">
        <f>INT(($E83-100000*$G83-10000*$H83-1000*$I83-100*$J83)/10)</f>
        <v>0</v>
      </c>
      <c r="L83" s="6">
        <f>INT(($E83-100000*$G83-10000*$H83-1000*$I83-100*$J83-10*$K83))</f>
        <v>2</v>
      </c>
      <c r="M83" s="7">
        <v>2</v>
      </c>
      <c r="N83" s="18"/>
      <c r="O83" s="76">
        <f>10*LOG10((10^((100+10*LOG10(1/(4*PI()*(3+J83/2)^2)))/10)+10^((100-3+10*LOG10(1/(4*PI()*(3+J83/2)^2)))/10))/10^((100+10*LOG10(4*(1+L83/10)/(0.16*(2000+K83*100))))/10))</f>
        <v>-3.0298624329721631</v>
      </c>
      <c r="P83" s="7">
        <f>IF(N83="",0,IF(EXACT(RIGHT(N83,2),"dB"),IF(ABS(VALUE(LEFT(N83,FIND(" ",N83,1)))-O83)&lt;=0.5,1,-1),-1))</f>
        <v>0</v>
      </c>
      <c r="Q83" s="18"/>
      <c r="R83" s="35">
        <f>(10^((100-3+10*LOG10(1/(4*PI()*(3+J83/2)^2)))/10)*COS((90-(30+L83*6))/180*PI()))/(10^((100+10*LOG10(1/(4*PI()*(3+J83/2)^2)))/10)+10^((100-3+10*LOG10(1/(4*PI()*(3+J83/2)^2)))/10))</f>
        <v>0.22339632926801276</v>
      </c>
      <c r="S83" s="7">
        <f>IF(Q83="",0,IF(ABS(VALUE(Q83)-R83)&lt;=0.05,1,-1))</f>
        <v>0</v>
      </c>
      <c r="T83" s="18"/>
      <c r="U83" s="76">
        <f>10*LOG10(10^((100+10*LOG10(1/(4*PI()*(3+J83/2)^2)))/10)+10^((100-3+10*LOG10(1/(4*PI()*(3+J83/2)^2)))/10)+10^((100+10*LOG10(4*(1+L83/10)/(0.16*(2000+K83*100))))/10))-100+31</f>
        <v>14.515314141623691</v>
      </c>
      <c r="V83" s="7">
        <f>IF(T83="",0,IF(EXACT(RIGHT(T83,2),"dB"),IF(ABS(VALUE(LEFT(T83,FIND(" ",T83,1)))-U83)&lt;=0.5,1,-1),-1))</f>
        <v>0</v>
      </c>
      <c r="W83" s="58">
        <v>0.45550000000000002</v>
      </c>
      <c r="X83" s="35">
        <f>(0.5+L83/20)/(1+10^(-(5+K83)/10))</f>
        <v>0.45584815598877465</v>
      </c>
      <c r="Y83" s="7">
        <f>IF(W83="",0,IF(ABS(VALUE(W83)-X83)&lt;=0.05,1,-1))</f>
        <v>1</v>
      </c>
      <c r="Z83" s="36" t="s">
        <v>448</v>
      </c>
      <c r="AA83" s="76">
        <f>10*LOG10(1+((100+K83*10+L83)*(0.5+J83/20))/((0.1+J83/100)*(6*(5+L83/2)^2)))</f>
        <v>5.2648286954916284</v>
      </c>
      <c r="AB83" s="7">
        <f>IF(Z83="",0,IF(EXACT(RIGHT(Z83,2),"dB"),IF(ABS(VALUE(LEFT(Z83,FIND(" ",Z83,1)))-AA83)&lt;=0.5,1,-1),-1))</f>
        <v>-1</v>
      </c>
      <c r="AC83" s="34">
        <v>0.46600000000000003</v>
      </c>
      <c r="AD83" s="35">
        <f>0.3+L83/30+0.1</f>
        <v>0.46666666666666667</v>
      </c>
      <c r="AE83" s="7">
        <f>IF(AC83="",0,IF(ABS(VALUE(AC83)-AD83)&lt;=0.05,1,-1))</f>
        <v>1</v>
      </c>
      <c r="AF83" s="34">
        <v>0.53300000000000003</v>
      </c>
      <c r="AG83" s="35">
        <f>1-AD83</f>
        <v>0.53333333333333333</v>
      </c>
      <c r="AH83" s="7">
        <f>IF(AF83="",0,IF(ABS(VALUE(AF83)-AG83)&lt;=0.05,1,-1))</f>
        <v>1</v>
      </c>
      <c r="AI83" s="36" t="s">
        <v>447</v>
      </c>
      <c r="AJ83" s="76">
        <f>-10*LOG10(1-(0.3+K83/20))</f>
        <v>1.5490195998574319</v>
      </c>
      <c r="AK83" s="7">
        <f>IF(AI83="",0,IF(EXACT(RIGHT(AI83,2),"dB"),IF(ABS(ABS(VALUE(LEFT(AI83,FIND(" ",AI83,1))))-AJ83)&lt;=0.5,1,-1),-1))</f>
        <v>1</v>
      </c>
      <c r="AL83" s="34">
        <v>1.0940000000000001</v>
      </c>
      <c r="AM83" s="35">
        <f>((0.16*(200+K83*10+L83)/(2+K83/10))-0.16*(200+K83*10+L83)/(6+L83/10))/10</f>
        <v>1.0947096774193548</v>
      </c>
      <c r="AN83" s="7">
        <f>IF(AL83="",0,IF(ABS(VALUE(AL83)-AM83)&lt;=0.05,1,-1))</f>
        <v>1</v>
      </c>
      <c r="AO83" s="34" t="s">
        <v>449</v>
      </c>
      <c r="AP83" s="35">
        <f>((0.16*(200+K83*10+L83)/(2+K83/10))-0.16*(200+K83*10+L83)/(6+L83/10))/(10+J83)</f>
        <v>0.91225806451612901</v>
      </c>
      <c r="AQ83" s="7">
        <f>IF(AO83="",0,IF(EXACT(RIGHT(AO83,2),"m2"),IF(ABS(VALUE(LEFT(AO83,FIND(" ",AO83,1)))-AP83)&lt;=0.05,1,-1),-1))</f>
        <v>1</v>
      </c>
      <c r="AR83" s="47">
        <f>M83+P83+S83+V83+Y83+AB83+AE83+AH83+AK83+AN83+AQ83</f>
        <v>7</v>
      </c>
    </row>
    <row r="84" spans="1:44" ht="12.75" x14ac:dyDescent="0.2">
      <c r="A84" s="50">
        <v>82</v>
      </c>
      <c r="B84" s="33">
        <v>41950.772724594906</v>
      </c>
      <c r="C84" s="34" t="s">
        <v>511</v>
      </c>
      <c r="D84" s="34" t="s">
        <v>512</v>
      </c>
      <c r="E84" s="17">
        <v>239381</v>
      </c>
      <c r="F84" s="6">
        <v>1</v>
      </c>
      <c r="G84" s="6">
        <f>INT(E84/100000)</f>
        <v>2</v>
      </c>
      <c r="H84" s="6">
        <f>INT(($E84-100000*G84)/10000)</f>
        <v>3</v>
      </c>
      <c r="I84" s="6">
        <f>INT(($E84-100000*G84-10000*H84)/1000)</f>
        <v>9</v>
      </c>
      <c r="J84" s="6">
        <f>INT(($E84-100000*$G84-10000*$H84-1000*$I84)/100)</f>
        <v>3</v>
      </c>
      <c r="K84" s="6">
        <f>INT(($E84-100000*$G84-10000*$H84-1000*$I84-100*$J84)/10)</f>
        <v>8</v>
      </c>
      <c r="L84" s="6">
        <f>INT(($E84-100000*$G84-10000*$H84-1000*$I84-100*$J84-10*$K84))</f>
        <v>1</v>
      </c>
      <c r="M84" s="7">
        <v>2</v>
      </c>
      <c r="N84" s="18"/>
      <c r="O84" s="76">
        <f>10*LOG10((10^((100+10*LOG10(1/(4*PI()*(3+J84/2)^2)))/10)+10^((100-3+10*LOG10(1/(4*PI()*(3+J84/2)^2)))/10))/10^((100+10*LOG10(4*(1+L84/10)/(0.16*(2000+K84*100))))/10))</f>
        <v>-2.2137469162434043</v>
      </c>
      <c r="P84" s="7">
        <f>IF(N84="",0,IF(EXACT(RIGHT(N84,2),"dB"),IF(ABS(VALUE(LEFT(N84,FIND(" ",N84,1)))-O84)&lt;=0.5,1,-1),-1))</f>
        <v>0</v>
      </c>
      <c r="Q84" s="18"/>
      <c r="R84" s="35">
        <f>(10^((100-3+10*LOG10(1/(4*PI()*(3+J84/2)^2)))/10)*COS((90-(30+L84*6))/180*PI()))/(10^((100+10*LOG10(1/(4*PI()*(3+J84/2)^2)))/10)+10^((100-3+10*LOG10(1/(4*PI()*(3+J84/2)^2)))/10))</f>
        <v>0.19623832255191975</v>
      </c>
      <c r="S84" s="7">
        <f>IF(Q84="",0,IF(ABS(VALUE(Q84)-R84)&lt;=0.05,1,-1))</f>
        <v>0</v>
      </c>
      <c r="T84" s="18"/>
      <c r="U84" s="76">
        <f>10*LOG10(10^((100+10*LOG10(1/(4*PI()*(3+J84/2)^2)))/10)+10^((100-3+10*LOG10(1/(4*PI()*(3+J84/2)^2)))/10)+10^((100+10*LOG10(4*(1+L84/10)/(0.16*(2000+K84*100))))/10))-100+31</f>
        <v>12.964724775365895</v>
      </c>
      <c r="V84" s="7">
        <f>IF(T84="",0,IF(EXACT(RIGHT(T84,2),"dB"),IF(ABS(VALUE(LEFT(T84,FIND(" ",T84,1)))-U84)&lt;=0.5,1,-1),-1))</f>
        <v>0</v>
      </c>
      <c r="W84" s="58">
        <v>0.52375000000000005</v>
      </c>
      <c r="X84" s="35">
        <f>(0.5+L84/20)/(1+10^(-(5+K84)/10))</f>
        <v>0.52375030343118789</v>
      </c>
      <c r="Y84" s="7">
        <f>IF(W84="",0,IF(ABS(VALUE(W84)-X84)&lt;=0.05,1,-1))</f>
        <v>1</v>
      </c>
      <c r="Z84" s="36" t="s">
        <v>514</v>
      </c>
      <c r="AA84" s="76">
        <f>10*LOG10(1+((100+K84*10+L84)*(0.5+J84/20))/((0.1+J84/100)*(6*(5+L84/2)^2)))</f>
        <v>7.77153101284412</v>
      </c>
      <c r="AB84" s="7">
        <f>IF(Z84="",0,IF(EXACT(RIGHT(Z84,2),"dB"),IF(ABS(VALUE(LEFT(Z84,FIND(" ",Z84,1)))-AA84)&lt;=0.5,1,-1),-1))</f>
        <v>-1</v>
      </c>
      <c r="AC84" s="34">
        <v>0.43</v>
      </c>
      <c r="AD84" s="35">
        <f>0.3+L84/30+0.1</f>
        <v>0.43333333333333335</v>
      </c>
      <c r="AE84" s="7">
        <f>IF(AC84="",0,IF(ABS(VALUE(AC84)-AD84)&lt;=0.05,1,-1))</f>
        <v>1</v>
      </c>
      <c r="AF84" s="34">
        <v>0.56999999999999995</v>
      </c>
      <c r="AG84" s="35">
        <f>1-AD84</f>
        <v>0.56666666666666665</v>
      </c>
      <c r="AH84" s="7">
        <f>IF(AF84="",0,IF(ABS(VALUE(AF84)-AG84)&lt;=0.05,1,-1))</f>
        <v>1</v>
      </c>
      <c r="AI84" s="36" t="s">
        <v>513</v>
      </c>
      <c r="AJ84" s="76">
        <f>-10*LOG10(1-(0.3+K84/20))</f>
        <v>5.2287874528033749</v>
      </c>
      <c r="AK84" s="7">
        <f>IF(AI84="",0,IF(EXACT(RIGHT(AI84,2),"dB"),IF(ABS(ABS(VALUE(LEFT(AI84,FIND(" ",AI84,1))))-AJ84)&lt;=0.5,1,-1),-1))</f>
        <v>1</v>
      </c>
      <c r="AL84" s="34">
        <v>0.86866500000000002</v>
      </c>
      <c r="AM84" s="35">
        <f>((0.16*(200+K84*10+L84)/(2+K84/10))-0.16*(200+K84*10+L84)/(6+L84/10))/10</f>
        <v>0.86866510538641672</v>
      </c>
      <c r="AN84" s="7">
        <f>IF(AL84="",0,IF(ABS(VALUE(AL84)-AM84)&lt;=0.05,1,-1))</f>
        <v>1</v>
      </c>
      <c r="AO84" s="34" t="s">
        <v>515</v>
      </c>
      <c r="AP84" s="35">
        <f>((0.16*(200+K84*10+L84)/(2+K84/10))-0.16*(200+K84*10+L84)/(6+L84/10))/(10+J84)</f>
        <v>0.66820392722032063</v>
      </c>
      <c r="AQ84" s="7">
        <f>IF(AO84="",0,IF(EXACT(RIGHT(AO84,2),"m2"),IF(ABS(VALUE(LEFT(AO84,FIND(" ",AO84,1)))-AP84)&lt;=0.05,1,-1),-1))</f>
        <v>1</v>
      </c>
      <c r="AR84" s="47">
        <f>M84+P84+S84+V84+Y84+AB84+AE84+AH84+AK84+AN84+AQ84</f>
        <v>7</v>
      </c>
    </row>
    <row r="85" spans="1:44" ht="12.75" x14ac:dyDescent="0.2">
      <c r="A85" s="50">
        <v>83</v>
      </c>
      <c r="B85" s="33">
        <v>41950.775621203706</v>
      </c>
      <c r="C85" s="34" t="s">
        <v>904</v>
      </c>
      <c r="D85" s="34" t="s">
        <v>905</v>
      </c>
      <c r="E85" s="17">
        <v>254950</v>
      </c>
      <c r="F85" s="6">
        <v>1</v>
      </c>
      <c r="G85" s="6">
        <f>INT(E85/100000)</f>
        <v>2</v>
      </c>
      <c r="H85" s="6">
        <f>INT(($E85-100000*G85)/10000)</f>
        <v>5</v>
      </c>
      <c r="I85" s="6">
        <f>INT(($E85-100000*G85-10000*H85)/1000)</f>
        <v>4</v>
      </c>
      <c r="J85" s="6">
        <f>INT(($E85-100000*$G85-10000*$H85-1000*$I85)/100)</f>
        <v>9</v>
      </c>
      <c r="K85" s="6">
        <f>INT(($E85-100000*$G85-10000*$H85-1000*$I85-100*$J85)/10)</f>
        <v>5</v>
      </c>
      <c r="L85" s="6">
        <f>INT(($E85-100000*$G85-10000*$H85-1000*$I85-100*$J85-10*$K85))</f>
        <v>0</v>
      </c>
      <c r="M85" s="7">
        <v>2</v>
      </c>
      <c r="N85" s="34" t="s">
        <v>906</v>
      </c>
      <c r="O85" s="76">
        <f>10*LOG10((10^((100+10*LOG10(1/(4*PI()*(3+J85/2)^2)))/10)+10^((100-3+10*LOG10(1/(4*PI()*(3+J85/2)^2)))/10))/10^((100+10*LOG10(4*(1+L85/10)/(0.16*(2000+K85*100))))/10))</f>
        <v>-6.7289752836900982</v>
      </c>
      <c r="P85" s="7">
        <f>IF(N85="",0,IF(EXACT(RIGHT(N85,2),"dB"),IF(ABS(VALUE(LEFT(N85,FIND(" ",N85,1)))-O85)&lt;=0.5,1,-1),-1))</f>
        <v>-1</v>
      </c>
      <c r="Q85" s="34">
        <v>0.16700000000000001</v>
      </c>
      <c r="R85" s="35">
        <f>(10^((100-3+10*LOG10(1/(4*PI()*(3+J85/2)^2)))/10)*COS((90-(30+L85*6))/180*PI()))/(10^((100+10*LOG10(1/(4*PI()*(3+J85/2)^2)))/10)+10^((100-3+10*LOG10(1/(4*PI()*(3+J85/2)^2)))/10))</f>
        <v>0.16693028770843912</v>
      </c>
      <c r="S85" s="7">
        <f>IF(Q85="",0,IF(ABS(VALUE(Q85)-R85)&lt;=0.05,1,-1))</f>
        <v>1</v>
      </c>
      <c r="T85" s="34" t="s">
        <v>907</v>
      </c>
      <c r="U85" s="76">
        <f>10*LOG10(10^((100+10*LOG10(1/(4*PI()*(3+J85/2)^2)))/10)+10^((100-3+10*LOG10(1/(4*PI()*(3+J85/2)^2)))/10)+10^((100+10*LOG10(4*(1+L85/10)/(0.16*(2000+K85*100))))/10))-100+31</f>
        <v>11.836368111374213</v>
      </c>
      <c r="V85" s="7">
        <f>IF(T85="",0,IF(EXACT(RIGHT(T85,2),"dB"),IF(ABS(VALUE(LEFT(T85,FIND(" ",T85,1)))-U85)&lt;=0.5,1,-1),-1))</f>
        <v>1</v>
      </c>
      <c r="W85" s="58">
        <v>0.45500000000000002</v>
      </c>
      <c r="X85" s="35">
        <f>(0.5+L85/20)/(1+10^(-(5+K85)/10))</f>
        <v>0.45454545454545453</v>
      </c>
      <c r="Y85" s="7">
        <f>IF(W85="",0,IF(ABS(VALUE(W85)-X85)&lt;=0.05,1,-1))</f>
        <v>1</v>
      </c>
      <c r="Z85" s="34" t="s">
        <v>908</v>
      </c>
      <c r="AA85" s="76">
        <f>10*LOG10(1+((100+K85*10+L85)*(0.5+J85/20))/((0.1+J85/100)*(6*(5+L85/2)^2)))</f>
        <v>7.7815125038364368</v>
      </c>
      <c r="AB85" s="7">
        <f>IF(Z85="",0,IF(EXACT(RIGHT(Z85,2),"dB"),IF(ABS(VALUE(LEFT(Z85,FIND(" ",Z85,1)))-AA85)&lt;=0.5,1,-1),-1))</f>
        <v>-1</v>
      </c>
      <c r="AC85" s="34">
        <v>0.4</v>
      </c>
      <c r="AD85" s="35">
        <f>0.3+L85/30+0.1</f>
        <v>0.4</v>
      </c>
      <c r="AE85" s="7">
        <f>IF(AC85="",0,IF(ABS(VALUE(AC85)-AD85)&lt;=0.05,1,-1))</f>
        <v>1</v>
      </c>
      <c r="AF85" s="34">
        <v>0.6</v>
      </c>
      <c r="AG85" s="35">
        <f>1-AD85</f>
        <v>0.6</v>
      </c>
      <c r="AH85" s="7">
        <f>IF(AF85="",0,IF(ABS(VALUE(AF85)-AG85)&lt;=0.05,1,-1))</f>
        <v>1</v>
      </c>
      <c r="AI85" s="18"/>
      <c r="AJ85" s="76">
        <f>-10*LOG10(1-(0.3+K85/20))</f>
        <v>3.467874862246564</v>
      </c>
      <c r="AK85" s="7">
        <f>IF(AI85="",0,IF(EXACT(RIGHT(AI85,2),"dB"),IF(ABS(ABS(VALUE(LEFT(AI85,FIND(" ",AI85,1))))-AJ85)&lt;=0.5,1,-1),-1))</f>
        <v>0</v>
      </c>
      <c r="AL85" s="34">
        <v>0.93330000000000002</v>
      </c>
      <c r="AM85" s="35">
        <f>((0.16*(200+K85*10+L85)/(2+K85/10))-0.16*(200+K85*10+L85)/(6+L85/10))/10</f>
        <v>0.93333333333333324</v>
      </c>
      <c r="AN85" s="7">
        <f>IF(AL85="",0,IF(ABS(VALUE(AL85)-AM85)&lt;=0.05,1,-1))</f>
        <v>1</v>
      </c>
      <c r="AO85" s="34" t="s">
        <v>909</v>
      </c>
      <c r="AP85" s="35">
        <f>((0.16*(200+K85*10+L85)/(2+K85/10))-0.16*(200+K85*10+L85)/(6+L85/10))/(10+J85)</f>
        <v>0.49122807017543851</v>
      </c>
      <c r="AQ85" s="7">
        <f>IF(AO85="",0,IF(EXACT(RIGHT(AO85,2),"m2"),IF(ABS(VALUE(LEFT(AO85,FIND(" ",AO85,1)))-AP85)&lt;=0.05,1,-1),-1))</f>
        <v>1</v>
      </c>
      <c r="AR85" s="47">
        <f>M85+P85+S85+V85+Y85+AB85+AE85+AH85+AK85+AN85+AQ85</f>
        <v>7</v>
      </c>
    </row>
    <row r="86" spans="1:44" ht="12.75" x14ac:dyDescent="0.2">
      <c r="A86" s="50">
        <v>84</v>
      </c>
      <c r="B86" s="33">
        <v>41950.776120451388</v>
      </c>
      <c r="C86" s="34" t="s">
        <v>910</v>
      </c>
      <c r="D86" s="34" t="s">
        <v>911</v>
      </c>
      <c r="E86" s="17">
        <v>253562</v>
      </c>
      <c r="F86" s="6">
        <v>1</v>
      </c>
      <c r="G86" s="6">
        <f>INT(E86/100000)</f>
        <v>2</v>
      </c>
      <c r="H86" s="6">
        <f>INT(($E86-100000*G86)/10000)</f>
        <v>5</v>
      </c>
      <c r="I86" s="6">
        <f>INT(($E86-100000*G86-10000*H86)/1000)</f>
        <v>3</v>
      </c>
      <c r="J86" s="6">
        <f>INT(($E86-100000*$G86-10000*$H86-1000*$I86)/100)</f>
        <v>5</v>
      </c>
      <c r="K86" s="6">
        <f>INT(($E86-100000*$G86-10000*$H86-1000*$I86-100*$J86)/10)</f>
        <v>6</v>
      </c>
      <c r="L86" s="6">
        <f>INT(($E86-100000*$G86-10000*$H86-1000*$I86-100*$J86-10*$K86))</f>
        <v>2</v>
      </c>
      <c r="M86" s="7">
        <v>2</v>
      </c>
      <c r="N86" s="34" t="s">
        <v>912</v>
      </c>
      <c r="O86" s="76">
        <f>10*LOG10((10^((100+10*LOG10(1/(4*PI()*(3+J86/2)^2)))/10)+10^((100-3+10*LOG10(1/(4*PI()*(3+J86/2)^2)))/10))/10^((100+10*LOG10(4*(1+L86/10)/(0.16*(2000+K86*100))))/10))</f>
        <v>-4.6564828732294297</v>
      </c>
      <c r="P86" s="7">
        <f>IF(N86="",0,IF(EXACT(RIGHT(N86,2),"dB"),IF(ABS(VALUE(LEFT(N86,FIND(" ",N86,1)))-O86)&lt;=0.5,1,-1),-1))</f>
        <v>-1</v>
      </c>
      <c r="Q86" s="34">
        <v>0.223</v>
      </c>
      <c r="R86" s="35">
        <f>(10^((100-3+10*LOG10(1/(4*PI()*(3+J86/2)^2)))/10)*COS((90-(30+L86*6))/180*PI()))/(10^((100+10*LOG10(1/(4*PI()*(3+J86/2)^2)))/10)+10^((100-3+10*LOG10(1/(4*PI()*(3+J86/2)^2)))/10))</f>
        <v>0.22339632926801273</v>
      </c>
      <c r="S86" s="7">
        <f>IF(Q86="",0,IF(ABS(VALUE(Q86)-R86)&lt;=0.05,1,-1))</f>
        <v>1</v>
      </c>
      <c r="T86" s="34" t="s">
        <v>913</v>
      </c>
      <c r="U86" s="76">
        <f>10*LOG10(10^((100+10*LOG10(1/(4*PI()*(3+J86/2)^2)))/10)+10^((100-3+10*LOG10(1/(4*PI()*(3+J86/2)^2)))/10)+10^((100+10*LOG10(4*(1+L86/10)/(0.16*(2000+K86*100))))/10))-100+31</f>
        <v>12.899834245000591</v>
      </c>
      <c r="V86" s="7">
        <f>IF(T86="",0,IF(EXACT(RIGHT(T86,2),"dB"),IF(ABS(VALUE(LEFT(T86,FIND(" ",T86,1)))-U86)&lt;=0.5,1,-1),-1))</f>
        <v>1</v>
      </c>
      <c r="W86" s="58">
        <v>0.55600000000000005</v>
      </c>
      <c r="X86" s="35">
        <f>(0.5+L86/20)/(1+10^(-(5+K86)/10))</f>
        <v>0.55584746632945581</v>
      </c>
      <c r="Y86" s="7">
        <f>IF(W86="",0,IF(ABS(VALUE(W86)-X86)&lt;=0.05,1,-1))</f>
        <v>1</v>
      </c>
      <c r="Z86" s="34" t="s">
        <v>914</v>
      </c>
      <c r="AA86" s="76">
        <f>10*LOG10(1+((100+K86*10+L86)*(0.5+J86/20))/((0.1+J86/100)*(6*(5+L86/2)^2)))</f>
        <v>6.7669360962486653</v>
      </c>
      <c r="AB86" s="7">
        <f>IF(Z86="",0,IF(EXACT(RIGHT(Z86,2),"dB"),IF(ABS(VALUE(LEFT(Z86,FIND(" ",Z86,1)))-AA86)&lt;=0.5,1,-1),-1))</f>
        <v>-1</v>
      </c>
      <c r="AC86" s="34">
        <v>0.46700000000000003</v>
      </c>
      <c r="AD86" s="35">
        <f>0.3+L86/30+0.1</f>
        <v>0.46666666666666667</v>
      </c>
      <c r="AE86" s="7">
        <f>IF(AC86="",0,IF(ABS(VALUE(AC86)-AD86)&lt;=0.05,1,-1))</f>
        <v>1</v>
      </c>
      <c r="AF86" s="34">
        <v>0.53300000000000003</v>
      </c>
      <c r="AG86" s="35">
        <f>1-AD86</f>
        <v>0.53333333333333333</v>
      </c>
      <c r="AH86" s="7">
        <f>IF(AF86="",0,IF(ABS(VALUE(AF86)-AG86)&lt;=0.05,1,-1))</f>
        <v>1</v>
      </c>
      <c r="AI86" s="18"/>
      <c r="AJ86" s="76">
        <f>-10*LOG10(1-(0.3+K86/20))</f>
        <v>3.9794000867203758</v>
      </c>
      <c r="AK86" s="7">
        <f>IF(AI86="",0,IF(EXACT(RIGHT(AI86,2),"dB"),IF(ABS(ABS(VALUE(LEFT(AI86,FIND(" ",AI86,1))))-AJ86)&lt;=0.5,1,-1),-1))</f>
        <v>0</v>
      </c>
      <c r="AL86" s="34">
        <v>0.93600000000000005</v>
      </c>
      <c r="AM86" s="35">
        <f>((0.16*(200+K86*10+L86)/(2+K86/10))-0.16*(200+K86*10+L86)/(6+L86/10))/10</f>
        <v>0.93617866004962769</v>
      </c>
      <c r="AN86" s="7">
        <f>IF(AL86="",0,IF(ABS(VALUE(AL86)-AM86)&lt;=0.05,1,-1))</f>
        <v>1</v>
      </c>
      <c r="AO86" s="34" t="s">
        <v>915</v>
      </c>
      <c r="AP86" s="35">
        <f>((0.16*(200+K86*10+L86)/(2+K86/10))-0.16*(200+K86*10+L86)/(6+L86/10))/(10+J86)</f>
        <v>0.62411910669975179</v>
      </c>
      <c r="AQ86" s="7">
        <f>IF(AO86="",0,IF(EXACT(RIGHT(AO86,2),"m2"),IF(ABS(VALUE(LEFT(AO86,FIND(" ",AO86,1)))-AP86)&lt;=0.05,1,-1),-1))</f>
        <v>1</v>
      </c>
      <c r="AR86" s="47">
        <f>M86+P86+S86+V86+Y86+AB86+AE86+AH86+AK86+AN86+AQ86</f>
        <v>7</v>
      </c>
    </row>
    <row r="87" spans="1:44" ht="12.75" x14ac:dyDescent="0.2">
      <c r="A87" s="50">
        <v>85</v>
      </c>
      <c r="B87" s="33">
        <v>41951.731201724535</v>
      </c>
      <c r="C87" s="18"/>
      <c r="D87" s="51" t="s">
        <v>940</v>
      </c>
      <c r="E87" s="52">
        <v>211589</v>
      </c>
      <c r="F87" s="6">
        <v>1</v>
      </c>
      <c r="G87" s="6">
        <f>INT(E87/100000)</f>
        <v>2</v>
      </c>
      <c r="H87" s="6">
        <f>INT(($E87-100000*G87)/10000)</f>
        <v>1</v>
      </c>
      <c r="I87" s="6">
        <f>INT(($E87-100000*G87-10000*H87)/1000)</f>
        <v>1</v>
      </c>
      <c r="J87" s="6">
        <f>INT(($E87-100000*$G87-10000*$H87-1000*$I87)/100)</f>
        <v>5</v>
      </c>
      <c r="K87" s="6">
        <f>INT(($E87-100000*$G87-10000*$H87-1000*$I87-100*$J87)/10)</f>
        <v>8</v>
      </c>
      <c r="L87" s="6">
        <f>INT(($E87-100000*$G87-10000*$H87-1000*$I87-100*$J87-10*$K87))</f>
        <v>9</v>
      </c>
      <c r="M87" s="7">
        <v>0</v>
      </c>
      <c r="N87" s="36" t="s">
        <v>941</v>
      </c>
      <c r="O87" s="76">
        <f>10*LOG10((10^((100+10*LOG10(1/(4*PI()*(3+J87/2)^2)))/10)+10^((100-3+10*LOG10(1/(4*PI()*(3+J87/2)^2)))/10))/10^((100+10*LOG10(4*(1+L87/10)/(0.16*(2000+K87*100))))/10))</f>
        <v>-6.3303595885674557</v>
      </c>
      <c r="P87" s="7">
        <f>IF(N87="",0,IF(EXACT(RIGHT(N87,2),"dB"),IF(ABS(VALUE(LEFT(N87,FIND(" ",N87,1)))-O87)&lt;=0.5,1,-1),-1))</f>
        <v>1</v>
      </c>
      <c r="Q87" s="18"/>
      <c r="R87" s="35">
        <f>(10^((100-3+10*LOG10(1/(4*PI()*(3+J87/2)^2)))/10)*COS((90-(30+L87*6))/180*PI()))/(10^((100+10*LOG10(1/(4*PI()*(3+J87/2)^2)))/10)+10^((100-3+10*LOG10(1/(4*PI()*(3+J87/2)^2)))/10))</f>
        <v>0.33203165225233566</v>
      </c>
      <c r="S87" s="7">
        <f>IF(Q87="",0,IF(ABS(VALUE(Q87)-R87)&lt;=0.05,1,-1))</f>
        <v>0</v>
      </c>
      <c r="T87" s="18"/>
      <c r="U87" s="76">
        <f>10*LOG10(10^((100+10*LOG10(1/(4*PI()*(3+J87/2)^2)))/10)+10^((100-3+10*LOG10(1/(4*PI()*(3+J87/2)^2)))/10)+10^((100+10*LOG10(4*(1+L87/10)/(0.16*(2000+K87*100))))/10))-100+31</f>
        <v>14.204246284320533</v>
      </c>
      <c r="V87" s="7">
        <f>IF(T87="",0,IF(EXACT(RIGHT(T87,2),"dB"),IF(ABS(VALUE(LEFT(T87,FIND(" ",T87,1)))-U87)&lt;=0.5,1,-1),-1))</f>
        <v>0</v>
      </c>
      <c r="W87" s="58">
        <v>0.90464999999999995</v>
      </c>
      <c r="X87" s="35">
        <f>(0.5+L87/20)/(1+10^(-(5+K87)/10))</f>
        <v>0.90465961501750636</v>
      </c>
      <c r="Y87" s="7">
        <f>IF(W87="",0,IF(ABS(VALUE(W87)-X87)&lt;=0.05,1,-1))</f>
        <v>1</v>
      </c>
      <c r="Z87" s="36" t="s">
        <v>942</v>
      </c>
      <c r="AA87" s="76">
        <f>10*LOG10(1+((100+K87*10+L87)*(0.5+J87/20))/((0.1+J87/100)*(6*(5+L87/2)^2)))</f>
        <v>4.3856645257961731</v>
      </c>
      <c r="AB87" s="7">
        <f>IF(Z87="",0,IF(EXACT(RIGHT(Z87,2),"dB"),IF(ABS(VALUE(LEFT(Z87,FIND(" ",Z87,1)))-AA87)&lt;=0.5,1,-1),-1))</f>
        <v>1</v>
      </c>
      <c r="AC87" s="34">
        <v>0.7</v>
      </c>
      <c r="AD87" s="35">
        <f>0.3+L87/30+0.1</f>
        <v>0.7</v>
      </c>
      <c r="AE87" s="7">
        <f>IF(AC87="",0,IF(ABS(VALUE(AC87)-AD87)&lt;=0.05,1,-1))</f>
        <v>1</v>
      </c>
      <c r="AF87" s="34">
        <v>0.3</v>
      </c>
      <c r="AG87" s="35">
        <f>1-AD87</f>
        <v>0.30000000000000004</v>
      </c>
      <c r="AH87" s="7">
        <f>IF(AF87="",0,IF(ABS(VALUE(AF87)-AG87)&lt;=0.05,1,-1))</f>
        <v>1</v>
      </c>
      <c r="AI87" s="36" t="s">
        <v>943</v>
      </c>
      <c r="AJ87" s="76">
        <f>-10*LOG10(1-(0.3+K87/20))</f>
        <v>5.2287874528033749</v>
      </c>
      <c r="AK87" s="7">
        <f>IF(AI87="",0,IF(EXACT(RIGHT(AI87,2),"dB"),IF(ABS(ABS(VALUE(LEFT(AI87,FIND(" ",AI87,1))))-AJ87)&lt;=0.5,1,-1),-1))</f>
        <v>1</v>
      </c>
      <c r="AL87" s="18"/>
      <c r="AM87" s="35">
        <f>((0.16*(200+K87*10+L87)/(2+K87/10))-0.16*(200+K87*10+L87)/(6+L87/10))/10</f>
        <v>0.9812836438923398</v>
      </c>
      <c r="AN87" s="7">
        <f>IF(AL87="",0,IF(ABS(VALUE(AL87)-AM87)&lt;=0.05,1,-1))</f>
        <v>0</v>
      </c>
      <c r="AO87" s="34" t="s">
        <v>944</v>
      </c>
      <c r="AP87" s="35">
        <f>((0.16*(200+K87*10+L87)/(2+K87/10))-0.16*(200+K87*10+L87)/(6+L87/10))/(10+J87)</f>
        <v>0.65418909592822649</v>
      </c>
      <c r="AQ87" s="7">
        <f>IF(AO87="",0,IF(EXACT(RIGHT(AO87,2),"m2"),IF(ABS(VALUE(LEFT(AO87,FIND(" ",AO87,1)))-AP87)&lt;=0.05,1,-1),-1))</f>
        <v>1</v>
      </c>
      <c r="AR87" s="47">
        <f>M87+P87+S87+V87+Y87+AB87+AE87+AH87+AK87+AN87+AQ87</f>
        <v>7</v>
      </c>
    </row>
    <row r="88" spans="1:44" ht="12.75" x14ac:dyDescent="0.2">
      <c r="A88" s="50">
        <v>86</v>
      </c>
      <c r="B88" s="33">
        <v>41950.751739780091</v>
      </c>
      <c r="C88" s="34" t="s">
        <v>13</v>
      </c>
      <c r="D88" s="34" t="s">
        <v>14</v>
      </c>
      <c r="E88" s="17">
        <v>211488</v>
      </c>
      <c r="F88" s="6">
        <v>1</v>
      </c>
      <c r="G88" s="6">
        <f>INT(E88/100000)</f>
        <v>2</v>
      </c>
      <c r="H88" s="6">
        <f>INT(($E88-100000*G88)/10000)</f>
        <v>1</v>
      </c>
      <c r="I88" s="6">
        <f>INT(($E88-100000*G88-10000*H88)/1000)</f>
        <v>1</v>
      </c>
      <c r="J88" s="6">
        <f>INT(($E88-100000*$G88-10000*$H88-1000*$I88)/100)</f>
        <v>4</v>
      </c>
      <c r="K88" s="6">
        <f>INT(($E88-100000*$G88-10000*$H88-1000*$I88-100*$J88)/10)</f>
        <v>8</v>
      </c>
      <c r="L88" s="6">
        <f>INT(($E88-100000*$G88-10000*$H88-1000*$I88-100*$J88-10*$K88))</f>
        <v>8</v>
      </c>
      <c r="M88" s="7">
        <v>2</v>
      </c>
      <c r="N88" s="18"/>
      <c r="O88" s="76">
        <f>10*LOG10((10^((100+10*LOG10(1/(4*PI()*(3+J88/2)^2)))/10)+10^((100-3+10*LOG10(1/(4*PI()*(3+J88/2)^2)))/10))/10^((100+10*LOG10(4*(1+L88/10)/(0.16*(2000+K88*100))))/10))</f>
        <v>-5.2676949269077165</v>
      </c>
      <c r="P88" s="7">
        <f>IF(N88="",0,IF(EXACT(RIGHT(N88,2),"dB"),IF(ABS(VALUE(LEFT(N88,FIND(" ",N88,1)))-O88)&lt;=0.5,1,-1),-1))</f>
        <v>0</v>
      </c>
      <c r="Q88" s="18"/>
      <c r="R88" s="35">
        <f>(10^((100-3+10*LOG10(1/(4*PI()*(3+J88/2)^2)))/10)*COS((90-(30+L88*6))/180*PI()))/(10^((100+10*LOG10(1/(4*PI()*(3+J88/2)^2)))/10)+10^((100-3+10*LOG10(1/(4*PI()*(3+J88/2)^2)))/10))</f>
        <v>0.32656492082362676</v>
      </c>
      <c r="S88" s="7">
        <f>IF(Q88="",0,IF(ABS(VALUE(Q88)-R88)&lt;=0.05,1,-1))</f>
        <v>0</v>
      </c>
      <c r="T88" s="18"/>
      <c r="U88" s="76">
        <f>10*LOG10(10^((100+10*LOG10(1/(4*PI()*(3+J88/2)^2)))/10)+10^((100-3+10*LOG10(1/(4*PI()*(3+J88/2)^2)))/10)+10^((100+10*LOG10(4*(1+L88/10)/(0.16*(2000+K88*100))))/10))-100+31</f>
        <v>14.191030587347399</v>
      </c>
      <c r="V88" s="7">
        <f>IF(T88="",0,IF(EXACT(RIGHT(T88,2),"dB"),IF(ABS(VALUE(LEFT(T88,FIND(" ",T88,1)))-U88)&lt;=0.5,1,-1),-1))</f>
        <v>0</v>
      </c>
      <c r="W88" s="58">
        <v>0.85699999999999998</v>
      </c>
      <c r="X88" s="35">
        <f>(0.5+L88/20)/(1+10^(-(5+K88)/10))</f>
        <v>0.85704595106921655</v>
      </c>
      <c r="Y88" s="7">
        <f>IF(W88="",0,IF(ABS(VALUE(W88)-X88)&lt;=0.05,1,-1))</f>
        <v>1</v>
      </c>
      <c r="Z88" s="36" t="s">
        <v>16</v>
      </c>
      <c r="AA88" s="76">
        <f>10*LOG10(1+((100+K88*10+L88)*(0.5+J88/20))/((0.1+J88/100)*(6*(5+L88/2)^2)))</f>
        <v>4.6748325625355331</v>
      </c>
      <c r="AB88" s="7">
        <f>IF(Z88="",0,IF(EXACT(RIGHT(Z88,2),"dB"),IF(ABS(VALUE(LEFT(Z88,FIND(" ",Z88,1)))-AA88)&lt;=0.5,1,-1),-1))</f>
        <v>-1</v>
      </c>
      <c r="AC88" s="34">
        <v>0.66669999999999996</v>
      </c>
      <c r="AD88" s="35">
        <f>0.3+L88/30+0.1</f>
        <v>0.66666666666666663</v>
      </c>
      <c r="AE88" s="7">
        <f>IF(AC88="",0,IF(ABS(VALUE(AC88)-AD88)&lt;=0.05,1,-1))</f>
        <v>1</v>
      </c>
      <c r="AF88" s="34">
        <v>0.33329999999999999</v>
      </c>
      <c r="AG88" s="35">
        <f>1-AD88</f>
        <v>0.33333333333333337</v>
      </c>
      <c r="AH88" s="7">
        <f>IF(AF88="",0,IF(ABS(VALUE(AF88)-AG88)&lt;=0.05,1,-1))</f>
        <v>1</v>
      </c>
      <c r="AI88" s="73" t="s">
        <v>15</v>
      </c>
      <c r="AJ88" s="76">
        <f>-10*LOG10(1-(0.3+K88/20))</f>
        <v>5.2287874528033749</v>
      </c>
      <c r="AK88" s="7">
        <f>IF(AI88="",0,IF(EXACT(RIGHT(AI88,2),"dB"),IF(ABS(ABS(VALUE(LEFT(AI88,FIND(" ",AI88,1))))-AJ88)&lt;=0.5,1,-1),-1))</f>
        <v>1</v>
      </c>
      <c r="AL88" s="34">
        <v>0.96809999999999996</v>
      </c>
      <c r="AM88" s="35">
        <f>((0.16*(200+K88*10+L88)/(2+K88/10))-0.16*(200+K88*10+L88)/(6+L88/10))/10</f>
        <v>0.96806722689075642</v>
      </c>
      <c r="AN88" s="7">
        <f>IF(AL88="",0,IF(ABS(VALUE(AL88)-AM88)&lt;=0.05,1,-1))</f>
        <v>1</v>
      </c>
      <c r="AO88" s="34" t="s">
        <v>1019</v>
      </c>
      <c r="AP88" s="35">
        <f>((0.16*(200+K88*10+L88)/(2+K88/10))-0.16*(200+K88*10+L88)/(6+L88/10))/(10+J88)</f>
        <v>0.69147659063625455</v>
      </c>
      <c r="AQ88" s="7">
        <f>IF(AO88="",0,IF(EXACT(RIGHT(AO88,2),"m2"),IF(ABS(VALUE(LEFT(AO88,FIND(" ",AO88,1)))-AP88)&lt;=0.05,1,-1),-1))</f>
        <v>1</v>
      </c>
      <c r="AR88" s="47">
        <f>M88+P88+S88+V88+Y88+AB88+AE88+AH88+AK88+AN88+AQ88</f>
        <v>7</v>
      </c>
    </row>
    <row r="89" spans="1:44" ht="12.75" x14ac:dyDescent="0.2">
      <c r="A89" s="50">
        <v>87</v>
      </c>
      <c r="B89" s="33">
        <v>41950.765937847224</v>
      </c>
      <c r="C89" s="34" t="s">
        <v>185</v>
      </c>
      <c r="D89" s="34" t="s">
        <v>186</v>
      </c>
      <c r="E89" s="17">
        <v>239625</v>
      </c>
      <c r="F89" s="6">
        <v>1</v>
      </c>
      <c r="G89" s="6">
        <f>INT(E89/100000)</f>
        <v>2</v>
      </c>
      <c r="H89" s="6">
        <f>INT(($E89-100000*G89)/10000)</f>
        <v>3</v>
      </c>
      <c r="I89" s="6">
        <f>INT(($E89-100000*G89-10000*H89)/1000)</f>
        <v>9</v>
      </c>
      <c r="J89" s="6">
        <f>INT(($E89-100000*$G89-10000*$H89-1000*$I89)/100)</f>
        <v>6</v>
      </c>
      <c r="K89" s="6">
        <f>INT(($E89-100000*$G89-10000*$H89-1000*$I89-100*$J89)/10)</f>
        <v>2</v>
      </c>
      <c r="L89" s="6">
        <f>INT(($E89-100000*$G89-10000*$H89-1000*$I89-100*$J89-10*$K89))</f>
        <v>5</v>
      </c>
      <c r="M89" s="7">
        <v>2</v>
      </c>
      <c r="N89" s="18"/>
      <c r="O89" s="76">
        <f>10*LOG10((10^((100+10*LOG10(1/(4*PI()*(3+J89/2)^2)))/10)+10^((100-3+10*LOG10(1/(4*PI()*(3+J89/2)^2)))/10))/10^((100+10*LOG10(4*(1+L89/10)/(0.16*(2000+K89*100))))/10))</f>
        <v>-7.1068608925840993</v>
      </c>
      <c r="P89" s="7">
        <f>IF(N89="",0,IF(EXACT(RIGHT(N89,2),"dB"),IF(ABS(VALUE(LEFT(N89,FIND(" ",N89,1)))-O89)&lt;=0.5,1,-1),-1))</f>
        <v>0</v>
      </c>
      <c r="Q89" s="18"/>
      <c r="R89" s="35">
        <f>(10^((100-3+10*LOG10(1/(4*PI()*(3+J89/2)^2)))/10)*COS((90-(30+L89*6))/180*PI()))/(10^((100+10*LOG10(1/(4*PI()*(3+J89/2)^2)))/10)+10^((100-3+10*LOG10(1/(4*PI()*(3+J89/2)^2)))/10))</f>
        <v>0.28913173963310729</v>
      </c>
      <c r="S89" s="7">
        <f>IF(Q89="",0,IF(ABS(VALUE(Q89)-R89)&lt;=0.05,1,-1))</f>
        <v>0</v>
      </c>
      <c r="T89" s="18"/>
      <c r="U89" s="76">
        <f>10*LOG10(10^((100+10*LOG10(1/(4*PI()*(3+J89/2)^2)))/10)+10^((100-3+10*LOG10(1/(4*PI()*(3+J89/2)^2)))/10)+10^((100+10*LOG10(4*(1+L89/10)/(0.16*(2000+K89*100))))/10))-100+31</f>
        <v>14.088589699493951</v>
      </c>
      <c r="V89" s="7">
        <f>IF(T89="",0,IF(EXACT(RIGHT(T89,2),"dB"),IF(ABS(VALUE(LEFT(T89,FIND(" ",T89,1)))-U89)&lt;=0.5,1,-1),-1))</f>
        <v>0</v>
      </c>
      <c r="W89" s="58">
        <v>0.62524000000000002</v>
      </c>
      <c r="X89" s="35">
        <f>(0.5+L89/20)/(1+10^(-(5+K89)/10))</f>
        <v>0.62524685188757856</v>
      </c>
      <c r="Y89" s="7">
        <f>IF(W89="",0,IF(ABS(VALUE(W89)-X89)&lt;=0.05,1,-1))</f>
        <v>1</v>
      </c>
      <c r="Z89" s="34" t="s">
        <v>188</v>
      </c>
      <c r="AA89" s="76">
        <f>10*LOG10(1+((100+K89*10+L89)*(0.5+J89/20))/((0.1+J89/100)*(6*(5+L89/2)^2)))</f>
        <v>4.5512696101349457</v>
      </c>
      <c r="AB89" s="7">
        <f>IF(Z89="",0,IF(EXACT(RIGHT(Z89,2),"dB"),IF(ABS(VALUE(LEFT(Z89,FIND(" ",Z89,1)))-AA89)&lt;=0.5,1,-1),-1))</f>
        <v>-1</v>
      </c>
      <c r="AC89" s="34">
        <v>0.56666000000000005</v>
      </c>
      <c r="AD89" s="35">
        <f>0.3+L89/30+0.1</f>
        <v>0.56666666666666665</v>
      </c>
      <c r="AE89" s="7">
        <f>IF(AC89="",0,IF(ABS(VALUE(AC89)-AD89)&lt;=0.05,1,-1))</f>
        <v>1</v>
      </c>
      <c r="AF89" s="34">
        <v>0.43332999999999999</v>
      </c>
      <c r="AG89" s="35">
        <f>1-AD89</f>
        <v>0.43333333333333335</v>
      </c>
      <c r="AH89" s="7">
        <f>IF(AF89="",0,IF(ABS(VALUE(AF89)-AG89)&lt;=0.05,1,-1))</f>
        <v>1</v>
      </c>
      <c r="AI89" s="73" t="s">
        <v>187</v>
      </c>
      <c r="AJ89" s="76">
        <f>-10*LOG10(1-(0.3+K89/20))</f>
        <v>2.2184874961635641</v>
      </c>
      <c r="AK89" s="7">
        <f>IF(AI89="",0,IF(EXACT(RIGHT(AI89,2),"dB"),IF(ABS(ABS(VALUE(LEFT(AI89,FIND(" ",AI89,1))))-AJ89)&lt;=0.5,1,-1),-1))</f>
        <v>1</v>
      </c>
      <c r="AL89" s="34">
        <v>1.0825174799999999</v>
      </c>
      <c r="AM89" s="35">
        <f>((0.16*(200+K89*10+L89)/(2+K89/10))-0.16*(200+K89*10+L89)/(6+L89/10))/10</f>
        <v>1.0825174825174826</v>
      </c>
      <c r="AN89" s="7">
        <f>IF(AL89="",0,IF(ABS(VALUE(AL89)-AM89)&lt;=0.05,1,-1))</f>
        <v>1</v>
      </c>
      <c r="AO89" s="34" t="s">
        <v>699</v>
      </c>
      <c r="AP89" s="35">
        <f>((0.16*(200+K89*10+L89)/(2+K89/10))-0.16*(200+K89*10+L89)/(6+L89/10))/(10+J89)</f>
        <v>0.67657342657342656</v>
      </c>
      <c r="AQ89" s="7">
        <f>IF(AO89="",0,IF(EXACT(RIGHT(AO89,2),"m2"),IF(ABS(VALUE(LEFT(AO89,FIND(" ",AO89,1)))-AP89)&lt;=0.05,1,-1),-1))</f>
        <v>1</v>
      </c>
      <c r="AR89" s="47">
        <f>M89+P89+S89+V89+Y89+AB89+AE89+AH89+AK89+AN89+AQ89</f>
        <v>7</v>
      </c>
    </row>
    <row r="90" spans="1:44" ht="12.75" x14ac:dyDescent="0.2">
      <c r="A90" s="50">
        <v>88</v>
      </c>
      <c r="B90" s="33">
        <v>41950.767638842597</v>
      </c>
      <c r="C90" s="34" t="s">
        <v>338</v>
      </c>
      <c r="D90" s="34" t="s">
        <v>339</v>
      </c>
      <c r="E90" s="17">
        <v>239611</v>
      </c>
      <c r="F90" s="6">
        <v>1</v>
      </c>
      <c r="G90" s="6">
        <f>INT(E90/100000)</f>
        <v>2</v>
      </c>
      <c r="H90" s="6">
        <f>INT(($E90-100000*G90)/10000)</f>
        <v>3</v>
      </c>
      <c r="I90" s="6">
        <f>INT(($E90-100000*G90-10000*H90)/1000)</f>
        <v>9</v>
      </c>
      <c r="J90" s="6">
        <f>INT(($E90-100000*$G90-10000*$H90-1000*$I90)/100)</f>
        <v>6</v>
      </c>
      <c r="K90" s="6">
        <f>INT(($E90-100000*$G90-10000*$H90-1000*$I90-100*$J90)/10)</f>
        <v>1</v>
      </c>
      <c r="L90" s="6">
        <f>INT(($E90-100000*$G90-10000*$H90-1000*$I90-100*$J90-10*$K90))</f>
        <v>1</v>
      </c>
      <c r="M90" s="7">
        <v>2</v>
      </c>
      <c r="N90" s="18"/>
      <c r="O90" s="76">
        <f>10*LOG10((10^((100+10*LOG10(1/(4*PI()*(3+J90/2)^2)))/10)+10^((100-3+10*LOG10(1/(4*PI()*(3+J90/2)^2)))/10))/10^((100+10*LOG10(4*(1+L90/10)/(0.16*(2000+K90*100))))/10))</f>
        <v>-5.9619090144924147</v>
      </c>
      <c r="P90" s="7">
        <f>IF(N90="",0,IF(EXACT(RIGHT(N90,2),"dB"),IF(ABS(VALUE(LEFT(N90,FIND(" ",N90,1)))-O90)&lt;=0.5,1,-1),-1))</f>
        <v>0</v>
      </c>
      <c r="Q90" s="18"/>
      <c r="R90" s="35">
        <f>(10^((100-3+10*LOG10(1/(4*PI()*(3+J90/2)^2)))/10)*COS((90-(30+L90*6))/180*PI()))/(10^((100+10*LOG10(1/(4*PI()*(3+J90/2)^2)))/10)+10^((100-3+10*LOG10(1/(4*PI()*(3+J90/2)^2)))/10))</f>
        <v>0.1962383225519202</v>
      </c>
      <c r="S90" s="7">
        <f>IF(Q90="",0,IF(ABS(VALUE(Q90)-R90)&lt;=0.05,1,-1))</f>
        <v>0</v>
      </c>
      <c r="T90" s="18"/>
      <c r="U90" s="76">
        <f>10*LOG10(10^((100+10*LOG10(1/(4*PI()*(3+J90/2)^2)))/10)+10^((100-3+10*LOG10(1/(4*PI()*(3+J90/2)^2)))/10)+10^((100+10*LOG10(4*(1+L90/10)/(0.16*(2000+K90*100))))/10))-100+31</f>
        <v>13.152035924613216</v>
      </c>
      <c r="V90" s="7">
        <f>IF(T90="",0,IF(EXACT(RIGHT(T90,2),"dB"),IF(ABS(VALUE(LEFT(T90,FIND(" ",T90,1)))-U90)&lt;=0.5,1,-1),-1))</f>
        <v>0</v>
      </c>
      <c r="W90" s="58">
        <v>0.43958199999999997</v>
      </c>
      <c r="X90" s="35">
        <f>(0.5+L90/20)/(1+10^(-(5+K90)/10))</f>
        <v>0.43958199509779405</v>
      </c>
      <c r="Y90" s="7">
        <f>IF(W90="",0,IF(ABS(VALUE(W90)-X90)&lt;=0.05,1,-1))</f>
        <v>1</v>
      </c>
      <c r="Z90" s="34" t="s">
        <v>341</v>
      </c>
      <c r="AA90" s="76">
        <f>10*LOG10(1+((100+K90*10+L90)*(0.5+J90/20))/((0.1+J90/100)*(6*(5+L90/2)^2)))</f>
        <v>6.0829612180651838</v>
      </c>
      <c r="AB90" s="7">
        <f>IF(Z90="",0,IF(EXACT(RIGHT(Z90,2),"dB"),IF(ABS(VALUE(LEFT(Z90,FIND(" ",Z90,1)))-AA90)&lt;=0.5,1,-1),-1))</f>
        <v>-1</v>
      </c>
      <c r="AC90" s="34">
        <v>0.43</v>
      </c>
      <c r="AD90" s="35">
        <f>0.3+L90/30+0.1</f>
        <v>0.43333333333333335</v>
      </c>
      <c r="AE90" s="7">
        <f>IF(AC90="",0,IF(ABS(VALUE(AC90)-AD90)&lt;=0.05,1,-1))</f>
        <v>1</v>
      </c>
      <c r="AF90" s="34">
        <v>0.56999999999999995</v>
      </c>
      <c r="AG90" s="35">
        <f>1-AD90</f>
        <v>0.56666666666666665</v>
      </c>
      <c r="AH90" s="7">
        <f>IF(AF90="",0,IF(ABS(VALUE(AF90)-AG90)&lt;=0.05,1,-1))</f>
        <v>1</v>
      </c>
      <c r="AI90" s="73" t="s">
        <v>340</v>
      </c>
      <c r="AJ90" s="76">
        <f>-10*LOG10(1-(0.3+K90/20))</f>
        <v>1.8708664335714442</v>
      </c>
      <c r="AK90" s="7">
        <f>IF(AI90="",0,IF(EXACT(RIGHT(AI90,2),"dB"),IF(ABS(ABS(VALUE(LEFT(AI90,FIND(" ",AI90,1))))-AJ90)&lt;=0.5,1,-1),-1))</f>
        <v>1</v>
      </c>
      <c r="AL90" s="34">
        <v>1.0541764199999999</v>
      </c>
      <c r="AM90" s="35">
        <f>((0.16*(200+K90*10+L90)/(2+K90/10))-0.16*(200+K90*10+L90)/(6+L90/10))/10</f>
        <v>1.0541764246682281</v>
      </c>
      <c r="AN90" s="7">
        <f>IF(AL90="",0,IF(ABS(VALUE(AL90)-AM90)&lt;=0.05,1,-1))</f>
        <v>1</v>
      </c>
      <c r="AO90" s="34" t="s">
        <v>1031</v>
      </c>
      <c r="AP90" s="35">
        <f>((0.16*(200+K90*10+L90)/(2+K90/10))-0.16*(200+K90*10+L90)/(6+L90/10))/(10+J90)</f>
        <v>0.65886026541764253</v>
      </c>
      <c r="AQ90" s="7">
        <f>IF(AO90="",0,IF(EXACT(RIGHT(AO90,2),"m2"),IF(ABS(VALUE(LEFT(AO90,FIND(" ",AO90,1)))-AP90)&lt;=0.05,1,-1),-1))</f>
        <v>1</v>
      </c>
      <c r="AR90" s="47">
        <f>M90+P90+S90+V90+Y90+AB90+AE90+AH90+AK90+AN90+AQ90</f>
        <v>7</v>
      </c>
    </row>
    <row r="91" spans="1:44" ht="12.75" x14ac:dyDescent="0.2">
      <c r="A91" s="50">
        <v>89</v>
      </c>
      <c r="B91" s="33">
        <v>41950.768823171296</v>
      </c>
      <c r="C91" s="34" t="s">
        <v>465</v>
      </c>
      <c r="D91" s="34" t="s">
        <v>466</v>
      </c>
      <c r="E91" s="17">
        <v>240287</v>
      </c>
      <c r="F91" s="6">
        <v>1</v>
      </c>
      <c r="G91" s="6">
        <f>INT(E91/100000)</f>
        <v>2</v>
      </c>
      <c r="H91" s="6">
        <f>INT(($E91-100000*G91)/10000)</f>
        <v>4</v>
      </c>
      <c r="I91" s="6">
        <f>INT(($E91-100000*G91-10000*H91)/1000)</f>
        <v>0</v>
      </c>
      <c r="J91" s="6">
        <f>INT(($E91-100000*$G91-10000*$H91-1000*$I91)/100)</f>
        <v>2</v>
      </c>
      <c r="K91" s="6">
        <f>INT(($E91-100000*$G91-10000*$H91-1000*$I91-100*$J91)/10)</f>
        <v>8</v>
      </c>
      <c r="L91" s="6">
        <f>INT(($E91-100000*$G91-10000*$H91-1000*$I91-100*$J91-10*$K91))</f>
        <v>7</v>
      </c>
      <c r="M91" s="7">
        <v>2</v>
      </c>
      <c r="N91" s="18"/>
      <c r="O91" s="76">
        <f>10*LOG10((10^((100+10*LOG10(1/(4*PI()*(3+J91/2)^2)))/10)+10^((100-3+10*LOG10(1/(4*PI()*(3+J91/2)^2)))/10))/10^((100+10*LOG10(4*(1+L91/10)/(0.16*(2000+K91*100))))/10))</f>
        <v>-3.0812588294962682</v>
      </c>
      <c r="P91" s="7">
        <f>IF(N91="",0,IF(EXACT(RIGHT(N91,2),"dB"),IF(ABS(VALUE(LEFT(N91,FIND(" ",N91,1)))-O91)&lt;=0.5,1,-1),-1))</f>
        <v>0</v>
      </c>
      <c r="Q91" s="18"/>
      <c r="R91" s="35">
        <f>(10^((100-3+10*LOG10(1/(4*PI()*(3+J91/2)^2)))/10)*COS((90-(30+L91*6))/180*PI()))/(10^((100+10*LOG10(1/(4*PI()*(3+J91/2)^2)))/10)+10^((100-3+10*LOG10(1/(4*PI()*(3+J91/2)^2)))/10))</f>
        <v>0.31752027578427117</v>
      </c>
      <c r="S91" s="7">
        <f>IF(Q91="",0,IF(ABS(VALUE(Q91)-R91)&lt;=0.05,1,-1))</f>
        <v>0</v>
      </c>
      <c r="T91" s="18"/>
      <c r="U91" s="76">
        <f>10*LOG10(10^((100+10*LOG10(1/(4*PI()*(3+J91/2)^2)))/10)+10^((100-3+10*LOG10(1/(4*PI()*(3+J91/2)^2)))/10)+10^((100+10*LOG10(4*(1+L91/10)/(0.16*(2000+K91*100))))/10))-100+31</f>
        <v>14.549697206182358</v>
      </c>
      <c r="V91" s="7">
        <f>IF(T91="",0,IF(EXACT(RIGHT(T91,2),"dB"),IF(ABS(VALUE(LEFT(T91,FIND(" ",T91,1)))-U91)&lt;=0.5,1,-1),-1))</f>
        <v>0</v>
      </c>
      <c r="W91" s="58">
        <v>0.80942999999999998</v>
      </c>
      <c r="X91" s="35">
        <f>(0.5+L91/20)/(1+10^(-(5+K91)/10))</f>
        <v>0.80943228712092674</v>
      </c>
      <c r="Y91" s="7">
        <f>IF(W91="",0,IF(ABS(VALUE(W91)-X91)&lt;=0.05,1,-1))</f>
        <v>1</v>
      </c>
      <c r="Z91" s="34" t="s">
        <v>468</v>
      </c>
      <c r="AA91" s="76">
        <f>10*LOG10(1+((100+K91*10+L91)*(0.5+J91/20))/((0.1+J91/100)*(6*(5+L91/2)^2)))</f>
        <v>4.9925569993391337</v>
      </c>
      <c r="AB91" s="7">
        <f>IF(Z91="",0,IF(EXACT(RIGHT(Z91,2),"dB"),IF(ABS(VALUE(LEFT(Z91,FIND(" ",Z91,1)))-AA91)&lt;=0.5,1,-1),-1))</f>
        <v>-1</v>
      </c>
      <c r="AC91" s="34">
        <v>0.63332999999999995</v>
      </c>
      <c r="AD91" s="35">
        <f>0.3+L91/30+0.1</f>
        <v>0.6333333333333333</v>
      </c>
      <c r="AE91" s="7">
        <f>IF(AC91="",0,IF(ABS(VALUE(AC91)-AD91)&lt;=0.05,1,-1))</f>
        <v>1</v>
      </c>
      <c r="AF91" s="34">
        <v>0.36665999999999999</v>
      </c>
      <c r="AG91" s="35">
        <f>1-AD91</f>
        <v>0.3666666666666667</v>
      </c>
      <c r="AH91" s="7">
        <f>IF(AF91="",0,IF(ABS(VALUE(AF91)-AG91)&lt;=0.05,1,-1))</f>
        <v>1</v>
      </c>
      <c r="AI91" s="73" t="s">
        <v>467</v>
      </c>
      <c r="AJ91" s="76">
        <f>-10*LOG10(1-(0.3+K91/20))</f>
        <v>5.2287874528033749</v>
      </c>
      <c r="AK91" s="7">
        <f>IF(AI91="",0,IF(EXACT(RIGHT(AI91,2),"dB"),IF(ABS(ABS(VALUE(LEFT(AI91,FIND(" ",AI91,1))))-AJ91)&lt;=0.5,1,-1),-1))</f>
        <v>1</v>
      </c>
      <c r="AL91" s="34">
        <v>0.95462000000000002</v>
      </c>
      <c r="AM91" s="35">
        <f>((0.16*(200+K91*10+L91)/(2+K91/10))-0.16*(200+K91*10+L91)/(6+L91/10))/10</f>
        <v>0.95462686567164212</v>
      </c>
      <c r="AN91" s="7">
        <f>IF(AL91="",0,IF(ABS(VALUE(AL91)-AM91)&lt;=0.05,1,-1))</f>
        <v>1</v>
      </c>
      <c r="AO91" s="34" t="s">
        <v>1033</v>
      </c>
      <c r="AP91" s="35">
        <f>((0.16*(200+K91*10+L91)/(2+K91/10))-0.16*(200+K91*10+L91)/(6+L91/10))/(10+J91)</f>
        <v>0.79552238805970177</v>
      </c>
      <c r="AQ91" s="7">
        <f>IF(AO91="",0,IF(EXACT(RIGHT(AO91,2),"m2"),IF(ABS(VALUE(LEFT(AO91,FIND(" ",AO91,1)))-AP91)&lt;=0.05,1,-1),-1))</f>
        <v>1</v>
      </c>
      <c r="AR91" s="47">
        <f>M91+P91+S91+V91+Y91+AB91+AE91+AH91+AK91+AN91+AQ91</f>
        <v>7</v>
      </c>
    </row>
    <row r="92" spans="1:44" ht="12.75" x14ac:dyDescent="0.2">
      <c r="A92" s="50">
        <v>90</v>
      </c>
      <c r="B92" s="33">
        <v>41950.769006539354</v>
      </c>
      <c r="C92" s="34" t="s">
        <v>516</v>
      </c>
      <c r="D92" s="34" t="s">
        <v>517</v>
      </c>
      <c r="E92" s="17">
        <v>239776</v>
      </c>
      <c r="F92" s="6">
        <v>1</v>
      </c>
      <c r="G92" s="6">
        <f>INT(E92/100000)</f>
        <v>2</v>
      </c>
      <c r="H92" s="6">
        <f>INT(($E92-100000*G92)/10000)</f>
        <v>3</v>
      </c>
      <c r="I92" s="6">
        <f>INT(($E92-100000*G92-10000*H92)/1000)</f>
        <v>9</v>
      </c>
      <c r="J92" s="6">
        <f>INT(($E92-100000*$G92-10000*$H92-1000*$I92)/100)</f>
        <v>7</v>
      </c>
      <c r="K92" s="6">
        <f>INT(($E92-100000*$G92-10000*$H92-1000*$I92-100*$J92)/10)</f>
        <v>7</v>
      </c>
      <c r="L92" s="6">
        <f>INT(($E92-100000*$G92-10000*$H92-1000*$I92-100*$J92-10*$K92))</f>
        <v>6</v>
      </c>
      <c r="M92" s="7">
        <v>2</v>
      </c>
      <c r="N92" s="18"/>
      <c r="O92" s="76">
        <f>10*LOG10((10^((100+10*LOG10(1/(4*PI()*(3+J92/2)^2)))/10)+10^((100-3+10*LOG10(1/(4*PI()*(3+J92/2)^2)))/10))/10^((100+10*LOG10(4*(1+L92/10)/(0.16*(2000+K92*100))))/10))</f>
        <v>-7.1929794204029616</v>
      </c>
      <c r="P92" s="7">
        <f>IF(N92="",0,IF(EXACT(RIGHT(N92,2),"dB"),IF(ABS(VALUE(LEFT(N92,FIND(" ",N92,1)))-O92)&lt;=0.5,1,-1),-1))</f>
        <v>0</v>
      </c>
      <c r="Q92" s="18"/>
      <c r="R92" s="35">
        <f>(10^((100-3+10*LOG10(1/(4*PI()*(3+J92/2)^2)))/10)*COS((90-(30+L92*6))/180*PI()))/(10^((100+10*LOG10(1/(4*PI()*(3+J92/2)^2)))/10)+10^((100-3+10*LOG10(1/(4*PI()*(3+J92/2)^2)))/10))</f>
        <v>0.30499681215803442</v>
      </c>
      <c r="S92" s="7">
        <f>IF(Q92="",0,IF(ABS(VALUE(Q92)-R92)&lt;=0.05,1,-1))</f>
        <v>0</v>
      </c>
      <c r="T92" s="18"/>
      <c r="U92" s="76">
        <f>10*LOG10(10^((100+10*LOG10(1/(4*PI()*(3+J92/2)^2)))/10)+10^((100-3+10*LOG10(1/(4*PI()*(3+J92/2)^2)))/10)+10^((100+10*LOG10(4*(1+L92/10)/(0.16*(2000+K92*100))))/10))-100+31</f>
        <v>13.465548737808788</v>
      </c>
      <c r="V92" s="7">
        <f>IF(T92="",0,IF(EXACT(RIGHT(T92,2),"dB"),IF(ABS(VALUE(LEFT(T92,FIND(" ",T92,1)))-U92)&lt;=0.5,1,-1),-1))</f>
        <v>0</v>
      </c>
      <c r="W92" s="58">
        <v>0.75249999999999995</v>
      </c>
      <c r="X92" s="35">
        <f>(0.5+L92/20)/(1+10^(-(5+K92)/10))</f>
        <v>0.75251924551778593</v>
      </c>
      <c r="Y92" s="7">
        <f>IF(W92="",0,IF(ABS(VALUE(W92)-X92)&lt;=0.05,1,-1))</f>
        <v>1</v>
      </c>
      <c r="Z92" s="34" t="s">
        <v>519</v>
      </c>
      <c r="AA92" s="76">
        <f>10*LOG10(1+((100+K92*10+L92)*(0.5+J92/20))/((0.1+J92/100)*(6*(5+L92/2)^2)))</f>
        <v>5.1741584957883537</v>
      </c>
      <c r="AB92" s="7">
        <f>IF(Z92="",0,IF(EXACT(RIGHT(Z92,2),"dB"),IF(ABS(VALUE(LEFT(Z92,FIND(" ",Z92,1)))-AA92)&lt;=0.5,1,-1),-1))</f>
        <v>-1</v>
      </c>
      <c r="AC92" s="34">
        <v>0.6</v>
      </c>
      <c r="AD92" s="35">
        <f>0.3+L92/30+0.1</f>
        <v>0.6</v>
      </c>
      <c r="AE92" s="7">
        <f>IF(AC92="",0,IF(ABS(VALUE(AC92)-AD92)&lt;=0.05,1,-1))</f>
        <v>1</v>
      </c>
      <c r="AF92" s="34">
        <v>0.4</v>
      </c>
      <c r="AG92" s="35">
        <f>1-AD92</f>
        <v>0.4</v>
      </c>
      <c r="AH92" s="7">
        <f>IF(AF92="",0,IF(ABS(VALUE(AF92)-AG92)&lt;=0.05,1,-1))</f>
        <v>1</v>
      </c>
      <c r="AI92" s="73" t="s">
        <v>518</v>
      </c>
      <c r="AJ92" s="76">
        <f>-10*LOG10(1-(0.3+K92/20))</f>
        <v>4.5593195564972424</v>
      </c>
      <c r="AK92" s="7">
        <f>IF(AI92="",0,IF(EXACT(RIGHT(AI92,2),"dB"),IF(ABS(ABS(VALUE(LEFT(AI92,FIND(" ",AI92,1))))-AJ92)&lt;=0.5,1,-1),-1))</f>
        <v>1</v>
      </c>
      <c r="AL92" s="34">
        <v>0.97</v>
      </c>
      <c r="AM92" s="35">
        <f>((0.16*(200+K92*10+L92)/(2+K92/10))-0.16*(200+K92*10+L92)/(6+L92/10))/10</f>
        <v>0.96646464646464625</v>
      </c>
      <c r="AN92" s="7">
        <f>IF(AL92="",0,IF(ABS(VALUE(AL92)-AM92)&lt;=0.05,1,-1))</f>
        <v>1</v>
      </c>
      <c r="AO92" s="34" t="s">
        <v>520</v>
      </c>
      <c r="AP92" s="35">
        <f>((0.16*(200+K92*10+L92)/(2+K92/10))-0.16*(200+K92*10+L92)/(6+L92/10))/(10+J92)</f>
        <v>0.56850861556743904</v>
      </c>
      <c r="AQ92" s="7">
        <f>IF(AO92="",0,IF(EXACT(RIGHT(AO92,2),"m2"),IF(ABS(VALUE(LEFT(AO92,FIND(" ",AO92,1)))-AP92)&lt;=0.05,1,-1),-1))</f>
        <v>1</v>
      </c>
      <c r="AR92" s="47">
        <f>M92+P92+S92+V92+Y92+AB92+AE92+AH92+AK92+AN92+AQ92</f>
        <v>7</v>
      </c>
    </row>
    <row r="93" spans="1:44" ht="12.75" x14ac:dyDescent="0.2">
      <c r="A93" s="50">
        <v>91</v>
      </c>
      <c r="B93" s="33">
        <v>41950.769088460649</v>
      </c>
      <c r="C93" s="34" t="s">
        <v>528</v>
      </c>
      <c r="D93" s="34" t="s">
        <v>529</v>
      </c>
      <c r="E93" s="17">
        <v>239314</v>
      </c>
      <c r="F93" s="6">
        <v>1</v>
      </c>
      <c r="G93" s="6">
        <f>INT(E93/100000)</f>
        <v>2</v>
      </c>
      <c r="H93" s="6">
        <f>INT(($E93-100000*G93)/10000)</f>
        <v>3</v>
      </c>
      <c r="I93" s="6">
        <f>INT(($E93-100000*G93-10000*H93)/1000)</f>
        <v>9</v>
      </c>
      <c r="J93" s="6">
        <f>INT(($E93-100000*$G93-10000*$H93-1000*$I93)/100)</f>
        <v>3</v>
      </c>
      <c r="K93" s="6">
        <f>INT(($E93-100000*$G93-10000*$H93-1000*$I93-100*$J93)/10)</f>
        <v>1</v>
      </c>
      <c r="L93" s="6">
        <f>INT(($E93-100000*$G93-10000*$H93-1000*$I93-100*$J93-10*$K93))</f>
        <v>4</v>
      </c>
      <c r="M93" s="7">
        <v>2</v>
      </c>
      <c r="N93" s="18"/>
      <c r="O93" s="76">
        <f>10*LOG10((10^((100+10*LOG10(1/(4*PI()*(3+J93/2)^2)))/10)+10^((100-3+10*LOG10(1/(4*PI()*(3+J93/2)^2)))/10))/10^((100+10*LOG10(4*(1+L93/10)/(0.16*(2000+K93*100))))/10))</f>
        <v>-4.5104877875265377</v>
      </c>
      <c r="P93" s="7">
        <f>IF(N93="",0,IF(EXACT(RIGHT(N93,2),"dB"),IF(ABS(VALUE(LEFT(N93,FIND(" ",N93,1)))-O93)&lt;=0.5,1,-1),-1))</f>
        <v>0</v>
      </c>
      <c r="Q93" s="18"/>
      <c r="R93" s="35">
        <f>(10^((100-3+10*LOG10(1/(4*PI()*(3+J93/2)^2)))/10)*COS((90-(30+L93*6))/180*PI()))/(10^((100+10*LOG10(1/(4*PI()*(3+J93/2)^2)))/10)+10^((100-3+10*LOG10(1/(4*PI()*(3+J93/2)^2)))/10))</f>
        <v>0.2700988792640529</v>
      </c>
      <c r="S93" s="7">
        <f>IF(Q93="",0,IF(ABS(VALUE(Q93)-R93)&lt;=0.05,1,-1))</f>
        <v>0</v>
      </c>
      <c r="T93" s="18"/>
      <c r="U93" s="76">
        <f>10*LOG10(10^((100+10*LOG10(1/(4*PI()*(3+J93/2)^2)))/10)+10^((100-3+10*LOG10(1/(4*PI()*(3+J93/2)^2)))/10)+10^((100+10*LOG10(4*(1+L93/10)/(0.16*(2000+K93*100))))/10))-100+31</f>
        <v>14.534538086328411</v>
      </c>
      <c r="V93" s="7">
        <f>IF(T93="",0,IF(EXACT(RIGHT(T93,2),"dB"),IF(ABS(VALUE(LEFT(T93,FIND(" ",T93,1)))-U93)&lt;=0.5,1,-1),-1))</f>
        <v>0</v>
      </c>
      <c r="W93" s="58">
        <v>0.55946700000000005</v>
      </c>
      <c r="X93" s="35">
        <f>(0.5+L93/20)/(1+10^(-(5+K93)/10))</f>
        <v>0.55946799376082879</v>
      </c>
      <c r="Y93" s="7">
        <f>IF(W93="",0,IF(ABS(VALUE(W93)-X93)&lt;=0.05,1,-1))</f>
        <v>1</v>
      </c>
      <c r="Z93" s="34" t="s">
        <v>531</v>
      </c>
      <c r="AA93" s="76">
        <f>10*LOG10(1+((100+K93*10+L93)*(0.5+J93/20))/((0.1+J93/100)*(6*(5+L93/2)^2)))</f>
        <v>4.681664120667361</v>
      </c>
      <c r="AB93" s="7">
        <f>IF(Z93="",0,IF(EXACT(RIGHT(Z93,2),"dB"),IF(ABS(VALUE(LEFT(Z93,FIND(" ",Z93,1)))-AA93)&lt;=0.5,1,-1),-1))</f>
        <v>-1</v>
      </c>
      <c r="AC93" s="34">
        <v>0.53333330000000001</v>
      </c>
      <c r="AD93" s="35">
        <f>0.3+L93/30+0.1</f>
        <v>0.53333333333333333</v>
      </c>
      <c r="AE93" s="7">
        <f>IF(AC93="",0,IF(ABS(VALUE(AC93)-AD93)&lt;=0.05,1,-1))</f>
        <v>1</v>
      </c>
      <c r="AF93" s="34">
        <v>0.46666659999999999</v>
      </c>
      <c r="AG93" s="35">
        <f>1-AD93</f>
        <v>0.46666666666666667</v>
      </c>
      <c r="AH93" s="7">
        <f>IF(AF93="",0,IF(ABS(VALUE(AF93)-AG93)&lt;=0.05,1,-1))</f>
        <v>1</v>
      </c>
      <c r="AI93" s="73" t="s">
        <v>530</v>
      </c>
      <c r="AJ93" s="76">
        <f>-10*LOG10(1-(0.3+K93/20))</f>
        <v>1.8708664335714442</v>
      </c>
      <c r="AK93" s="7">
        <f>IF(AI93="",0,IF(EXACT(RIGHT(AI93,2),"dB"),IF(ABS(ABS(VALUE(LEFT(AI93,FIND(" ",AI93,1))))-AJ93)&lt;=0.5,1,-1),-1))</f>
        <v>1</v>
      </c>
      <c r="AL93" s="34">
        <v>1.0954761900000001</v>
      </c>
      <c r="AM93" s="35">
        <f>((0.16*(200+K93*10+L93)/(2+K93/10))-0.16*(200+K93*10+L93)/(6+L93/10))/10</f>
        <v>1.0954761904761905</v>
      </c>
      <c r="AN93" s="7">
        <f>IF(AL93="",0,IF(ABS(VALUE(AL93)-AM93)&lt;=0.05,1,-1))</f>
        <v>1</v>
      </c>
      <c r="AO93" s="34" t="s">
        <v>532</v>
      </c>
      <c r="AP93" s="35">
        <f>((0.16*(200+K93*10+L93)/(2+K93/10))-0.16*(200+K93*10+L93)/(6+L93/10))/(10+J93)</f>
        <v>0.84267399267399257</v>
      </c>
      <c r="AQ93" s="7">
        <f>IF(AO93="",0,IF(EXACT(RIGHT(AO93,2),"m2"),IF(ABS(VALUE(LEFT(AO93,FIND(" ",AO93,1)))-AP93)&lt;=0.05,1,-1),-1))</f>
        <v>1</v>
      </c>
      <c r="AR93" s="47">
        <f>M93+P93+S93+V93+Y93+AB93+AE93+AH93+AK93+AN93+AQ93</f>
        <v>7</v>
      </c>
    </row>
    <row r="94" spans="1:44" ht="12.75" x14ac:dyDescent="0.2">
      <c r="A94" s="50">
        <v>92</v>
      </c>
      <c r="B94" s="33">
        <v>41950.769968113433</v>
      </c>
      <c r="C94" s="34" t="s">
        <v>621</v>
      </c>
      <c r="D94" s="34" t="s">
        <v>622</v>
      </c>
      <c r="E94" s="17">
        <v>242691</v>
      </c>
      <c r="F94" s="6">
        <v>1</v>
      </c>
      <c r="G94" s="6">
        <f>INT(E94/100000)</f>
        <v>2</v>
      </c>
      <c r="H94" s="6">
        <f>INT(($E94-100000*G94)/10000)</f>
        <v>4</v>
      </c>
      <c r="I94" s="6">
        <f>INT(($E94-100000*G94-10000*H94)/1000)</f>
        <v>2</v>
      </c>
      <c r="J94" s="6">
        <f>INT(($E94-100000*$G94-10000*$H94-1000*$I94)/100)</f>
        <v>6</v>
      </c>
      <c r="K94" s="6">
        <f>INT(($E94-100000*$G94-10000*$H94-1000*$I94-100*$J94)/10)</f>
        <v>9</v>
      </c>
      <c r="L94" s="6">
        <f>INT(($E94-100000*$G94-10000*$H94-1000*$I94-100*$J94-10*$K94))</f>
        <v>1</v>
      </c>
      <c r="M94" s="7">
        <v>2</v>
      </c>
      <c r="N94" s="18"/>
      <c r="O94" s="76">
        <f>10*LOG10((10^((100+10*LOG10(1/(4*PI()*(3+J94/2)^2)))/10)+10^((100-3+10*LOG10(1/(4*PI()*(3+J94/2)^2)))/10))/10^((100+10*LOG10(4*(1+L94/10)/(0.16*(2000+K94*100))))/10))</f>
        <v>-4.5601219828420589</v>
      </c>
      <c r="P94" s="7">
        <f>IF(N94="",0,IF(EXACT(RIGHT(N94,2),"dB"),IF(ABS(VALUE(LEFT(N94,FIND(" ",N94,1)))-O94)&lt;=0.5,1,-1),-1))</f>
        <v>0</v>
      </c>
      <c r="Q94" s="18"/>
      <c r="R94" s="35">
        <f>(10^((100-3+10*LOG10(1/(4*PI()*(3+J94/2)^2)))/10)*COS((90-(30+L94*6))/180*PI()))/(10^((100+10*LOG10(1/(4*PI()*(3+J94/2)^2)))/10)+10^((100-3+10*LOG10(1/(4*PI()*(3+J94/2)^2)))/10))</f>
        <v>0.1962383225519202</v>
      </c>
      <c r="S94" s="7">
        <f>IF(Q94="",0,IF(ABS(VALUE(Q94)-R94)&lt;=0.05,1,-1))</f>
        <v>0</v>
      </c>
      <c r="T94" s="18"/>
      <c r="U94" s="76">
        <f>10*LOG10(10^((100+10*LOG10(1/(4*PI()*(3+J94/2)^2)))/10)+10^((100-3+10*LOG10(1/(4*PI()*(3+J94/2)^2)))/10)+10^((100+10*LOG10(4*(1+L94/10)/(0.16*(2000+K94*100))))/10))-100+31</f>
        <v>12.072476622039233</v>
      </c>
      <c r="V94" s="7">
        <f>IF(T94="",0,IF(EXACT(RIGHT(T94,2),"dB"),IF(ABS(VALUE(LEFT(T94,FIND(" ",T94,1)))-U94)&lt;=0.5,1,-1),-1))</f>
        <v>0</v>
      </c>
      <c r="W94" s="58">
        <v>0.29199999999999998</v>
      </c>
      <c r="X94" s="35">
        <f>(0.5+L94/20)/(1+10^(-(5+K94)/10))</f>
        <v>0.52894242286476001</v>
      </c>
      <c r="Y94" s="7">
        <f>IF(W94="",0,IF(ABS(VALUE(W94)-X94)&lt;=0.05,1,-1))</f>
        <v>-1</v>
      </c>
      <c r="Z94" s="34" t="s">
        <v>624</v>
      </c>
      <c r="AA94" s="76">
        <f>10*LOG10(1+((100+K94*10+L94)*(0.5+J94/20))/((0.1+J94/100)*(6*(5+L94/2)^2)))</f>
        <v>7.9669281068885835</v>
      </c>
      <c r="AB94" s="7">
        <f>IF(Z94="",0,IF(EXACT(RIGHT(Z94,2),"dB"),IF(ABS(VALUE(LEFT(Z94,FIND(" ",Z94,1)))-AA94)&lt;=0.5,1,-1),-1))</f>
        <v>1</v>
      </c>
      <c r="AC94" s="34">
        <v>0.433</v>
      </c>
      <c r="AD94" s="35">
        <f>0.3+L94/30+0.1</f>
        <v>0.43333333333333335</v>
      </c>
      <c r="AE94" s="7">
        <f>IF(AC94="",0,IF(ABS(VALUE(AC94)-AD94)&lt;=0.05,1,-1))</f>
        <v>1</v>
      </c>
      <c r="AF94" s="34">
        <v>0.56699999999999995</v>
      </c>
      <c r="AG94" s="35">
        <f>1-AD94</f>
        <v>0.56666666666666665</v>
      </c>
      <c r="AH94" s="7">
        <f>IF(AF94="",0,IF(ABS(VALUE(AF94)-AG94)&lt;=0.05,1,-1))</f>
        <v>1</v>
      </c>
      <c r="AI94" s="73" t="s">
        <v>623</v>
      </c>
      <c r="AJ94" s="76">
        <f>-10*LOG10(1-(0.3+K94/20))</f>
        <v>6.0205999132796242</v>
      </c>
      <c r="AK94" s="7">
        <f>IF(AI94="",0,IF(EXACT(RIGHT(AI94,2),"dB"),IF(ABS(ABS(VALUE(LEFT(AI94,FIND(" ",AI94,1))))-AJ94)&lt;=0.5,1,-1),-1))</f>
        <v>1</v>
      </c>
      <c r="AL94" s="34">
        <v>0.84219999999999995</v>
      </c>
      <c r="AM94" s="35">
        <f>((0.16*(200+K94*10+L94)/(2+K94/10))-0.16*(200+K94*10+L94)/(6+L94/10))/10</f>
        <v>0.84223855285472027</v>
      </c>
      <c r="AN94" s="7">
        <f>IF(AL94="",0,IF(ABS(VALUE(AL94)-AM94)&lt;=0.05,1,-1))</f>
        <v>1</v>
      </c>
      <c r="AO94" s="34" t="s">
        <v>625</v>
      </c>
      <c r="AP94" s="35">
        <f>((0.16*(200+K94*10+L94)/(2+K94/10))-0.16*(200+K94*10+L94)/(6+L94/10))/(10+J94)</f>
        <v>0.52639909553420017</v>
      </c>
      <c r="AQ94" s="7">
        <f>IF(AO94="",0,IF(EXACT(RIGHT(AO94,2),"m2"),IF(ABS(VALUE(LEFT(AO94,FIND(" ",AO94,1)))-AP94)&lt;=0.05,1,-1),-1))</f>
        <v>1</v>
      </c>
      <c r="AR94" s="47">
        <f>M94+P94+S94+V94+Y94+AB94+AE94+AH94+AK94+AN94+AQ94</f>
        <v>7</v>
      </c>
    </row>
    <row r="95" spans="1:44" ht="12.75" x14ac:dyDescent="0.2">
      <c r="A95" s="50">
        <v>93</v>
      </c>
      <c r="B95" s="33">
        <v>41950.770758032406</v>
      </c>
      <c r="C95" s="34" t="s">
        <v>700</v>
      </c>
      <c r="D95" s="34" t="s">
        <v>701</v>
      </c>
      <c r="E95" s="17">
        <v>239167</v>
      </c>
      <c r="F95" s="6">
        <v>1</v>
      </c>
      <c r="G95" s="6">
        <f>INT(E95/100000)</f>
        <v>2</v>
      </c>
      <c r="H95" s="6">
        <f>INT(($E95-100000*G95)/10000)</f>
        <v>3</v>
      </c>
      <c r="I95" s="6">
        <f>INT(($E95-100000*G95-10000*H95)/1000)</f>
        <v>9</v>
      </c>
      <c r="J95" s="6">
        <f>INT(($E95-100000*$G95-10000*$H95-1000*$I95)/100)</f>
        <v>1</v>
      </c>
      <c r="K95" s="6">
        <f>INT(($E95-100000*$G95-10000*$H95-1000*$I95-100*$J95)/10)</f>
        <v>6</v>
      </c>
      <c r="L95" s="6">
        <f>INT(($E95-100000*$G95-10000*$H95-1000*$I95-100*$J95-10*$K95))</f>
        <v>7</v>
      </c>
      <c r="M95" s="7">
        <v>2</v>
      </c>
      <c r="N95" s="18"/>
      <c r="O95" s="76">
        <f>10*LOG10((10^((100+10*LOG10(1/(4*PI()*(3+J95/2)^2)))/10)+10^((100-3+10*LOG10(1/(4*PI()*(3+J95/2)^2)))/10))/10^((100+10*LOG10(4*(1+L95/10)/(0.16*(2000+K95*100))))/10))</f>
        <v>-2.2432667236565633</v>
      </c>
      <c r="P95" s="7">
        <f>IF(N95="",0,IF(EXACT(RIGHT(N95,2),"dB"),IF(ABS(VALUE(LEFT(N95,FIND(" ",N95,1)))-O95)&lt;=0.5,1,-1),-1))</f>
        <v>0</v>
      </c>
      <c r="Q95" s="18"/>
      <c r="R95" s="35">
        <f>(10^((100-3+10*LOG10(1/(4*PI()*(3+J95/2)^2)))/10)*COS((90-(30+L95*6))/180*PI()))/(10^((100+10*LOG10(1/(4*PI()*(3+J95/2)^2)))/10)+10^((100-3+10*LOG10(1/(4*PI()*(3+J95/2)^2)))/10))</f>
        <v>0.31752027578427117</v>
      </c>
      <c r="S95" s="7">
        <f>IF(Q95="",0,IF(ABS(VALUE(Q95)-R95)&lt;=0.05,1,-1))</f>
        <v>0</v>
      </c>
      <c r="T95" s="18"/>
      <c r="U95" s="76">
        <f>10*LOG10(10^((100+10*LOG10(1/(4*PI()*(3+J95/2)^2)))/10)+10^((100-3+10*LOG10(1/(4*PI()*(3+J95/2)^2)))/10)+10^((100+10*LOG10(4*(1+L95/10)/(0.16*(2000+K95*100))))/10))-100+31</f>
        <v>15.166079997240715</v>
      </c>
      <c r="V95" s="7">
        <f>IF(T95="",0,IF(EXACT(RIGHT(T95,2),"dB"),IF(ABS(VALUE(LEFT(T95,FIND(" ",T95,1)))-U95)&lt;=0.5,1,-1),-1))</f>
        <v>0</v>
      </c>
      <c r="W95" s="58">
        <v>0.78739999999999999</v>
      </c>
      <c r="X95" s="35">
        <f>(0.5+L95/20)/(1+10^(-(5+K95)/10))</f>
        <v>0.7874505773000624</v>
      </c>
      <c r="Y95" s="7">
        <f>IF(W95="",0,IF(ABS(VALUE(W95)-X95)&lt;=0.05,1,-1))</f>
        <v>1</v>
      </c>
      <c r="Z95" s="36" t="s">
        <v>703</v>
      </c>
      <c r="AA95" s="76">
        <f>10*LOG10(1+((100+K95*10+L95)*(0.5+J95/20))/((0.1+J95/100)*(6*(5+L95/2)^2)))</f>
        <v>4.6630136974552041</v>
      </c>
      <c r="AB95" s="7">
        <v>-1</v>
      </c>
      <c r="AC95" s="34">
        <v>0.63334000000000001</v>
      </c>
      <c r="AD95" s="35">
        <f>0.3+L95/30+0.1</f>
        <v>0.6333333333333333</v>
      </c>
      <c r="AE95" s="7">
        <f>IF(AC95="",0,IF(ABS(VALUE(AC95)-AD95)&lt;=0.05,1,-1))</f>
        <v>1</v>
      </c>
      <c r="AF95" s="34">
        <v>0.36659999999999998</v>
      </c>
      <c r="AG95" s="35">
        <f>1-AD95</f>
        <v>0.3666666666666667</v>
      </c>
      <c r="AH95" s="7">
        <f>IF(AF95="",0,IF(ABS(VALUE(AF95)-AG95)&lt;=0.05,1,-1))</f>
        <v>1</v>
      </c>
      <c r="AI95" s="73" t="s">
        <v>702</v>
      </c>
      <c r="AJ95" s="76">
        <f>-10*LOG10(1-(0.3+K95/20))</f>
        <v>3.9794000867203758</v>
      </c>
      <c r="AK95" s="7">
        <f>IF(AI95="",0,IF(EXACT(RIGHT(AI95,2),"dB"),IF(ABS(ABS(VALUE(LEFT(AI95,FIND(" ",AI95,1))))-AJ95)&lt;=0.5,1,-1),-1))</f>
        <v>1</v>
      </c>
      <c r="AL95" s="34">
        <v>1.0054000000000001</v>
      </c>
      <c r="AM95" s="35">
        <f>((0.16*(200+K95*10+L95)/(2+K95/10))-0.16*(200+K95*10+L95)/(6+L95/10))/10</f>
        <v>1.0054649827784155</v>
      </c>
      <c r="AN95" s="7">
        <f>IF(AL95="",0,IF(ABS(VALUE(AL95)-AM95)&lt;=0.05,1,-1))</f>
        <v>1</v>
      </c>
      <c r="AO95" s="34" t="s">
        <v>704</v>
      </c>
      <c r="AP95" s="35">
        <f>((0.16*(200+K95*10+L95)/(2+K95/10))-0.16*(200+K95*10+L95)/(6+L95/10))/(10+J95)</f>
        <v>0.91405907525310504</v>
      </c>
      <c r="AQ95" s="7">
        <f>IF(AO95="",0,IF(EXACT(RIGHT(AO95,2),"m2"),IF(ABS(VALUE(LEFT(AO95,FIND(" ",AO95,1)))-AP95)&lt;=0.05,1,-1),-1))</f>
        <v>1</v>
      </c>
      <c r="AR95" s="47">
        <f>M95+P95+S95+V95+Y95+AB95+AE95+AH95+AK95+AN95+AQ95</f>
        <v>7</v>
      </c>
    </row>
    <row r="96" spans="1:44" ht="12.75" x14ac:dyDescent="0.2">
      <c r="A96" s="50">
        <v>94</v>
      </c>
      <c r="B96" s="33">
        <v>41950.772174120371</v>
      </c>
      <c r="C96" s="34" t="s">
        <v>823</v>
      </c>
      <c r="D96" s="34" t="s">
        <v>824</v>
      </c>
      <c r="E96" s="17">
        <v>240053</v>
      </c>
      <c r="F96" s="6">
        <v>1</v>
      </c>
      <c r="G96" s="6">
        <f>INT(E96/100000)</f>
        <v>2</v>
      </c>
      <c r="H96" s="6">
        <f>INT(($E96-100000*G96)/10000)</f>
        <v>4</v>
      </c>
      <c r="I96" s="6">
        <f>INT(($E96-100000*G96-10000*H96)/1000)</f>
        <v>0</v>
      </c>
      <c r="J96" s="6">
        <f>INT(($E96-100000*$G96-10000*$H96-1000*$I96)/100)</f>
        <v>0</v>
      </c>
      <c r="K96" s="6">
        <f>INT(($E96-100000*$G96-10000*$H96-1000*$I96-100*$J96)/10)</f>
        <v>5</v>
      </c>
      <c r="L96" s="6">
        <f>INT(($E96-100000*$G96-10000*$H96-1000*$I96-100*$J96-10*$K96))</f>
        <v>3</v>
      </c>
      <c r="M96" s="7">
        <v>2</v>
      </c>
      <c r="N96" s="18"/>
      <c r="O96" s="76">
        <f>10*LOG10((10^((100+10*LOG10(1/(4*PI()*(3+J96/2)^2)))/10)+10^((100-3+10*LOG10(1/(4*PI()*(3+J96/2)^2)))/10))/10^((100+10*LOG10(4*(1+L96/10)/(0.16*(2000+K96*100))))/10))</f>
        <v>9.0391366682264718E-2</v>
      </c>
      <c r="P96" s="7">
        <f>IF(N96="",0,IF(EXACT(RIGHT(N96,2),"dB"),IF(ABS(VALUE(LEFT(N96,FIND(" ",N96,1)))-O96)&lt;=0.5,1,-1),-1))</f>
        <v>0</v>
      </c>
      <c r="Q96" s="18"/>
      <c r="R96" s="35">
        <f>(10^((100-3+10*LOG10(1/(4*PI()*(3+J96/2)^2)))/10)*COS((90-(30+L96*6))/180*PI()))/(10^((100+10*LOG10(1/(4*PI()*(3+J96/2)^2)))/10)+10^((100-3+10*LOG10(1/(4*PI()*(3+J96/2)^2)))/10))</f>
        <v>0.24810675905195864</v>
      </c>
      <c r="S96" s="7">
        <f>IF(Q96="",0,IF(ABS(VALUE(Q96)-R96)&lt;=0.05,1,-1))</f>
        <v>0</v>
      </c>
      <c r="T96" s="18"/>
      <c r="U96" s="76">
        <f>10*LOG10(10^((100+10*LOG10(1/(4*PI()*(3+J96/2)^2)))/10)+10^((100-3+10*LOG10(1/(4*PI()*(3+J96/2)^2)))/10)+10^((100+10*LOG10(4*(1+L96/10)/(0.16*(2000+K96*100))))/10))-100+31</f>
        <v>15.195164327552817</v>
      </c>
      <c r="V96" s="7">
        <f>IF(T96="",0,IF(EXACT(RIGHT(T96,2),"dB"),IF(ABS(VALUE(LEFT(T96,FIND(" ",T96,1)))-U96)&lt;=0.5,1,-1),-1))</f>
        <v>0</v>
      </c>
      <c r="W96" s="58">
        <v>0.59089999999999998</v>
      </c>
      <c r="X96" s="35">
        <f>(0.5+L96/20)/(1+10^(-(5+K96)/10))</f>
        <v>0.59090909090909083</v>
      </c>
      <c r="Y96" s="7">
        <f>IF(W96="",0,IF(ABS(VALUE(W96)-X96)&lt;=0.05,1,-1))</f>
        <v>1</v>
      </c>
      <c r="Z96" s="34" t="s">
        <v>826</v>
      </c>
      <c r="AA96" s="76">
        <f>10*LOG10(1+((100+K96*10+L96)*(0.5+J96/20))/((0.1+J96/100)*(6*(5+L96/2)^2)))</f>
        <v>6.0398306966682815</v>
      </c>
      <c r="AB96" s="7">
        <f>IF(Z96="",0,IF(EXACT(RIGHT(Z96,2),"dB"),IF(ABS(VALUE(LEFT(Z96,FIND(" ",Z96,1)))-AA96)&lt;=0.5,1,-1),-1))</f>
        <v>-1</v>
      </c>
      <c r="AC96" s="34">
        <v>0.5</v>
      </c>
      <c r="AD96" s="35">
        <f>0.3+L96/30+0.1</f>
        <v>0.5</v>
      </c>
      <c r="AE96" s="7">
        <f>IF(AC96="",0,IF(ABS(VALUE(AC96)-AD96)&lt;=0.05,1,-1))</f>
        <v>1</v>
      </c>
      <c r="AF96" s="34">
        <v>0.5</v>
      </c>
      <c r="AG96" s="35">
        <f>1-AD96</f>
        <v>0.5</v>
      </c>
      <c r="AH96" s="7">
        <f>IF(AF96="",0,IF(ABS(VALUE(AF96)-AG96)&lt;=0.05,1,-1))</f>
        <v>1</v>
      </c>
      <c r="AI96" s="73" t="s">
        <v>825</v>
      </c>
      <c r="AJ96" s="76">
        <f>-10*LOG10(1-(0.3+K96/20))</f>
        <v>3.467874862246564</v>
      </c>
      <c r="AK96" s="7">
        <f>IF(AI96="",0,IF(EXACT(RIGHT(AI96,2),"dB"),IF(ABS(ABS(VALUE(LEFT(AI96,FIND(" ",AI96,1))))-AJ96)&lt;=0.5,1,-1),-1))</f>
        <v>1</v>
      </c>
      <c r="AL96" s="34">
        <v>0.98</v>
      </c>
      <c r="AM96" s="35">
        <f>((0.16*(200+K96*10+L96)/(2+K96/10))-0.16*(200+K96*10+L96)/(6+L96/10))/10</f>
        <v>0.97666031746031723</v>
      </c>
      <c r="AN96" s="7">
        <f>IF(AL96="",0,IF(ABS(VALUE(AL96)-AM96)&lt;=0.05,1,-1))</f>
        <v>1</v>
      </c>
      <c r="AO96" s="34" t="s">
        <v>827</v>
      </c>
      <c r="AP96" s="35">
        <f>((0.16*(200+K96*10+L96)/(2+K96/10))-0.16*(200+K96*10+L96)/(6+L96/10))/(10+J96)</f>
        <v>0.97666031746031723</v>
      </c>
      <c r="AQ96" s="7">
        <f>IF(AO96="",0,IF(EXACT(RIGHT(AO96,2),"m2"),IF(ABS(VALUE(LEFT(AO96,FIND(" ",AO96,1)))-AP96)&lt;=0.05,1,-1),-1))</f>
        <v>1</v>
      </c>
      <c r="AR96" s="47">
        <f>M96+P96+S96+V96+Y96+AB96+AE96+AH96+AK96+AN96+AQ96</f>
        <v>7</v>
      </c>
    </row>
    <row r="97" spans="1:44" ht="12.75" x14ac:dyDescent="0.2">
      <c r="A97" s="50">
        <v>95</v>
      </c>
      <c r="B97" s="33">
        <v>41950.769081979168</v>
      </c>
      <c r="C97" s="34" t="s">
        <v>521</v>
      </c>
      <c r="D97" s="34" t="s">
        <v>522</v>
      </c>
      <c r="E97" s="17">
        <v>239653</v>
      </c>
      <c r="F97" s="6">
        <v>1</v>
      </c>
      <c r="G97" s="6">
        <f>INT(E97/100000)</f>
        <v>2</v>
      </c>
      <c r="H97" s="6">
        <f>INT(($E97-100000*G97)/10000)</f>
        <v>3</v>
      </c>
      <c r="I97" s="6">
        <f>INT(($E97-100000*G97-10000*H97)/1000)</f>
        <v>9</v>
      </c>
      <c r="J97" s="6">
        <f>INT(($E97-100000*$G97-10000*$H97-1000*$I97)/100)</f>
        <v>6</v>
      </c>
      <c r="K97" s="6">
        <f>INT(($E97-100000*$G97-10000*$H97-1000*$I97-100*$J97)/10)</f>
        <v>5</v>
      </c>
      <c r="L97" s="6">
        <f>INT(($E97-100000*$G97-10000*$H97-1000*$I97-100*$J97-10*$K97))</f>
        <v>3</v>
      </c>
      <c r="M97" s="7">
        <v>2</v>
      </c>
      <c r="N97" s="18"/>
      <c r="O97" s="76">
        <f>10*LOG10((10^((100+10*LOG10(1/(4*PI()*(3+J97/2)^2)))/10)+10^((100-3+10*LOG10(1/(4*PI()*(3+J97/2)^2)))/10))/10^((100+10*LOG10(4*(1+L97/10)/(0.16*(2000+K97*100))))/10))</f>
        <v>-5.9302085465973589</v>
      </c>
      <c r="P97" s="7">
        <f>IF(N97="",0,IF(EXACT(RIGHT(N97,2),"dB"),IF(ABS(VALUE(LEFT(N97,FIND(" ",N97,1)))-O97)&lt;=0.5,1,-1),-1))</f>
        <v>0</v>
      </c>
      <c r="Q97" s="18"/>
      <c r="R97" s="35">
        <f>(10^((100-3+10*LOG10(1/(4*PI()*(3+J97/2)^2)))/10)*COS((90-(30+L97*6))/180*PI()))/(10^((100+10*LOG10(1/(4*PI()*(3+J97/2)^2)))/10)+10^((100-3+10*LOG10(1/(4*PI()*(3+J97/2)^2)))/10))</f>
        <v>0.24810675905195861</v>
      </c>
      <c r="S97" s="7">
        <f>IF(Q97="",0,IF(ABS(VALUE(Q97)-R97)&lt;=0.05,1,-1))</f>
        <v>0</v>
      </c>
      <c r="T97" s="18"/>
      <c r="U97" s="76">
        <f>10*LOG10(10^((100+10*LOG10(1/(4*PI()*(3+J97/2)^2)))/10)+10^((100-3+10*LOG10(1/(4*PI()*(3+J97/2)^2)))/10)+10^((100+10*LOG10(4*(1+L97/10)/(0.16*(2000+K97*100))))/10))-100+31</f>
        <v>13.126763061205068</v>
      </c>
      <c r="V97" s="7">
        <f>IF(T97="",0,IF(EXACT(RIGHT(T97,2),"dB"),IF(ABS(VALUE(LEFT(T97,FIND(" ",T97,1)))-U97)&lt;=0.5,1,-1),-1))</f>
        <v>0</v>
      </c>
      <c r="W97" s="58">
        <v>0.59899999999999998</v>
      </c>
      <c r="X97" s="35">
        <f>(0.5+L97/20)/(1+10^(-(5+K97)/10))</f>
        <v>0.59090909090909083</v>
      </c>
      <c r="Y97" s="7">
        <f>IF(W97="",0,IF(ABS(VALUE(W97)-X97)&lt;=0.05,1,-1))</f>
        <v>1</v>
      </c>
      <c r="Z97" s="59">
        <v>4.319</v>
      </c>
      <c r="AA97" s="76">
        <f>10*LOG10(1+((100+K97*10+L97)*(0.5+J97/20))/((0.1+J97/100)*(6*(5+L97/2)^2)))</f>
        <v>6.0398306966682815</v>
      </c>
      <c r="AB97" s="7">
        <f>IF(Z97="",0,IF(EXACT(RIGHT(Z97,2),"dB"),IF(ABS(VALUE(LEFT(Z97,FIND(" ",Z97,1)))-AA97)&lt;=0.5,1,-1),-1))</f>
        <v>-1</v>
      </c>
      <c r="AC97" s="59">
        <v>0.5</v>
      </c>
      <c r="AD97" s="35">
        <f>0.3+L97/30+0.1</f>
        <v>0.5</v>
      </c>
      <c r="AE97" s="7">
        <f>IF(AC97="",0,IF(ABS(VALUE(AC97)-AD97)&lt;=0.05,1,-1))</f>
        <v>1</v>
      </c>
      <c r="AF97" s="59">
        <v>0.5</v>
      </c>
      <c r="AG97" s="35">
        <f>1-AD97</f>
        <v>0.5</v>
      </c>
      <c r="AH97" s="7">
        <f>IF(AF97="",0,IF(ABS(VALUE(AF97)-AG97)&lt;=0.05,1,-1))</f>
        <v>1</v>
      </c>
      <c r="AI97" s="69" t="s">
        <v>253</v>
      </c>
      <c r="AJ97" s="76">
        <f>-10*LOG10(1-(0.3+K97/20))</f>
        <v>3.467874862246564</v>
      </c>
      <c r="AK97" s="7">
        <f>IF(AI97="",0,IF(EXACT(RIGHT(AI97,2),"dB"),IF(ABS(ABS(VALUE(LEFT(AI97,FIND(" ",AI97,1))))-AJ97)&lt;=0.5,1,-1),-1))</f>
        <v>1</v>
      </c>
      <c r="AL97" s="69">
        <v>0.97660000000000002</v>
      </c>
      <c r="AM97" s="35">
        <f>((0.16*(200+K97*10+L97)/(2+K97/10))-0.16*(200+K97*10+L97)/(6+L97/10))/10</f>
        <v>0.97666031746031723</v>
      </c>
      <c r="AN97" s="7">
        <f>IF(AL97="",0,IF(ABS(VALUE(AL97)-AM97)&lt;=0.05,1,-1))</f>
        <v>1</v>
      </c>
      <c r="AO97" s="69" t="s">
        <v>1044</v>
      </c>
      <c r="AP97" s="35">
        <f>((0.16*(200+K97*10+L97)/(2+K97/10))-0.16*(200+K97*10+L97)/(6+L97/10))/(10+J97)</f>
        <v>0.6104126984126983</v>
      </c>
      <c r="AQ97" s="7">
        <f>IF(AO97="",0,IF(EXACT(RIGHT(AO97,2),"m2"),IF(ABS(VALUE(LEFT(AO97,FIND(" ",AO97,1)))-AP97)&lt;=0.05,1,-1),-1))</f>
        <v>1</v>
      </c>
      <c r="AR97" s="47">
        <f>M97+P97+S97+V97+Y97+AB97+AE97+AH97+AK97+AN97+AQ97</f>
        <v>7</v>
      </c>
    </row>
    <row r="98" spans="1:44" ht="12.75" x14ac:dyDescent="0.2">
      <c r="A98" s="50">
        <v>96</v>
      </c>
      <c r="B98" s="33">
        <v>41950.75968625</v>
      </c>
      <c r="C98" s="34" t="s">
        <v>26</v>
      </c>
      <c r="D98" s="34" t="s">
        <v>27</v>
      </c>
      <c r="E98" s="17">
        <v>231679</v>
      </c>
      <c r="F98" s="6">
        <v>1</v>
      </c>
      <c r="G98" s="6">
        <f>INT(E98/100000)</f>
        <v>2</v>
      </c>
      <c r="H98" s="6">
        <f>INT(($E98-100000*G98)/10000)</f>
        <v>3</v>
      </c>
      <c r="I98" s="6">
        <f>INT(($E98-100000*G98-10000*H98)/1000)</f>
        <v>1</v>
      </c>
      <c r="J98" s="6">
        <f>INT(($E98-100000*$G98-10000*$H98-1000*$I98)/100)</f>
        <v>6</v>
      </c>
      <c r="K98" s="6">
        <f>INT(($E98-100000*$G98-10000*$H98-1000*$I98-100*$J98)/10)</f>
        <v>7</v>
      </c>
      <c r="L98" s="6">
        <f>INT(($E98-100000*$G98-10000*$H98-1000*$I98-100*$J98-10*$K98))</f>
        <v>9</v>
      </c>
      <c r="M98" s="7">
        <v>2</v>
      </c>
      <c r="N98" s="18"/>
      <c r="O98" s="76">
        <f>10*LOG10((10^((100+10*LOG10(1/(4*PI()*(3+J98/2)^2)))/10)+10^((100-3+10*LOG10(1/(4*PI()*(3+J98/2)^2)))/10))/10^((100+10*LOG10(4*(1+L98/10)/(0.16*(2000+K98*100))))/10))</f>
        <v>-7.2440734781877705</v>
      </c>
      <c r="P98" s="7">
        <f>IF(N98="",0,IF(EXACT(RIGHT(N98,2),"dB"),IF(ABS(VALUE(LEFT(N98,FIND(" ",N98,1)))-O98)&lt;=0.5,1,-1),-1))</f>
        <v>0</v>
      </c>
      <c r="Q98" s="18"/>
      <c r="R98" s="35">
        <f>(10^((100-3+10*LOG10(1/(4*PI()*(3+J98/2)^2)))/10)*COS((90-(30+L98*6))/180*PI()))/(10^((100+10*LOG10(1/(4*PI()*(3+J98/2)^2)))/10)+10^((100-3+10*LOG10(1/(4*PI()*(3+J98/2)^2)))/10))</f>
        <v>0.33203165225233644</v>
      </c>
      <c r="S98" s="7">
        <f>IF(Q98="",0,IF(ABS(VALUE(Q98)-R98)&lt;=0.05,1,-1))</f>
        <v>0</v>
      </c>
      <c r="T98" s="18"/>
      <c r="U98" s="76">
        <f>10*LOG10(10^((100+10*LOG10(1/(4*PI()*(3+J98/2)^2)))/10)+10^((100-3+10*LOG10(1/(4*PI()*(3+J98/2)^2)))/10)+10^((100+10*LOG10(4*(1+L98/10)/(0.16*(2000+K98*100))))/10))-100+31</f>
        <v>14.203736584176681</v>
      </c>
      <c r="V98" s="7">
        <f>IF(T98="",0,IF(EXACT(RIGHT(T98,2),"dB"),IF(ABS(VALUE(LEFT(T98,FIND(" ",T98,1)))-U98)&lt;=0.5,1,-1),-1))</f>
        <v>0</v>
      </c>
      <c r="W98" s="58">
        <v>0.89361699999999999</v>
      </c>
      <c r="X98" s="35">
        <f>(0.5+L98/20)/(1+10^(-(5+K98)/10))</f>
        <v>0.89361660405237064</v>
      </c>
      <c r="Y98" s="7">
        <f>IF(W98="",0,IF(ABS(VALUE(W98)-X98)&lt;=0.05,1,-1))</f>
        <v>1</v>
      </c>
      <c r="Z98" s="18"/>
      <c r="AA98" s="76">
        <f>10*LOG10(1+((100+K98*10+L98)*(0.5+J98/20))/((0.1+J98/100)*(6*(5+L98/2)^2)))</f>
        <v>4.2370716936662713</v>
      </c>
      <c r="AB98" s="7">
        <f>IF(Z98="",0,IF(EXACT(RIGHT(Z98,2),"dB"),IF(ABS(VALUE(LEFT(Z98,FIND(" ",Z98,1)))-AA98)&lt;=0.5,1,-1),-1))</f>
        <v>0</v>
      </c>
      <c r="AC98" s="34">
        <v>0.7</v>
      </c>
      <c r="AD98" s="35">
        <f>0.3+L98/30+0.1</f>
        <v>0.7</v>
      </c>
      <c r="AE98" s="7">
        <f>IF(AC98="",0,IF(ABS(VALUE(AC98)-AD98)&lt;=0.05,1,-1))</f>
        <v>1</v>
      </c>
      <c r="AF98" s="34">
        <v>0.3</v>
      </c>
      <c r="AG98" s="35">
        <f>1-AD98</f>
        <v>0.30000000000000004</v>
      </c>
      <c r="AH98" s="7">
        <f>IF(AF98="",0,IF(ABS(VALUE(AF98)-AG98)&lt;=0.05,1,-1))</f>
        <v>1</v>
      </c>
      <c r="AI98" s="36" t="s">
        <v>28</v>
      </c>
      <c r="AJ98" s="76">
        <f>-10*LOG10(1-(0.3+K98/20))</f>
        <v>4.5593195564972424</v>
      </c>
      <c r="AK98" s="7">
        <f>IF(AI98="",0,IF(EXACT(RIGHT(AI98,2),"dB"),IF(ABS(ABS(VALUE(LEFT(AI98,FIND(" ",AI98,1))))-AJ98)&lt;=0.5,1,-1),-1))</f>
        <v>-1</v>
      </c>
      <c r="AL98" s="34">
        <v>1.0063</v>
      </c>
      <c r="AM98" s="35">
        <f>((0.16*(200+K98*10+L98)/(2+K98/10))-0.16*(200+K98*10+L98)/(6+L98/10))/10</f>
        <v>1.0063768115942027</v>
      </c>
      <c r="AN98" s="7">
        <f>IF(AL98="",0,IF(ABS(VALUE(AL98)-AM98)&lt;=0.05,1,-1))</f>
        <v>1</v>
      </c>
      <c r="AO98" s="34" t="s">
        <v>116</v>
      </c>
      <c r="AP98" s="35">
        <f>((0.16*(200+K98*10+L98)/(2+K98/10))-0.16*(200+K98*10+L98)/(6+L98/10))/(10+J98)</f>
        <v>0.6289855072463767</v>
      </c>
      <c r="AQ98" s="7">
        <f>IF(AO98="",0,IF(EXACT(RIGHT(AO98,2),"m2"),IF(ABS(VALUE(LEFT(AO98,FIND(" ",AO98,1)))-AP98)&lt;=0.05,1,-1),-1))</f>
        <v>1</v>
      </c>
      <c r="AR98" s="47">
        <f>M98+P98+S98+V98+Y98+AB98+AE98+AH98+AK98+AN98+AQ98</f>
        <v>6</v>
      </c>
    </row>
    <row r="99" spans="1:44" ht="12.75" x14ac:dyDescent="0.2">
      <c r="A99" s="50">
        <v>97</v>
      </c>
      <c r="B99" s="33">
        <v>41950.765946828702</v>
      </c>
      <c r="C99" s="34" t="s">
        <v>189</v>
      </c>
      <c r="D99" s="34" t="s">
        <v>190</v>
      </c>
      <c r="E99" s="17">
        <v>259673</v>
      </c>
      <c r="F99" s="6">
        <v>1</v>
      </c>
      <c r="G99" s="6">
        <f>INT(E99/100000)</f>
        <v>2</v>
      </c>
      <c r="H99" s="6">
        <f>INT(($E99-100000*G99)/10000)</f>
        <v>5</v>
      </c>
      <c r="I99" s="6">
        <f>INT(($E99-100000*G99-10000*H99)/1000)</f>
        <v>9</v>
      </c>
      <c r="J99" s="6">
        <f>INT(($E99-100000*$G99-10000*$H99-1000*$I99)/100)</f>
        <v>6</v>
      </c>
      <c r="K99" s="6">
        <f>INT(($E99-100000*$G99-10000*$H99-1000*$I99-100*$J99)/10)</f>
        <v>7</v>
      </c>
      <c r="L99" s="6">
        <f>INT(($E99-100000*$G99-10000*$H99-1000*$I99-100*$J99-10*$K99))</f>
        <v>3</v>
      </c>
      <c r="M99" s="7">
        <v>2</v>
      </c>
      <c r="N99" s="18"/>
      <c r="O99" s="76">
        <f>10*LOG10((10^((100+10*LOG10(1/(4*PI()*(3+J99/2)^2)))/10)+10^((100-3+10*LOG10(1/(4*PI()*(3+J99/2)^2)))/10))/10^((100+10*LOG10(4*(1+L99/10)/(0.16*(2000+K99*100))))/10))</f>
        <v>-5.5959709917278557</v>
      </c>
      <c r="P99" s="7">
        <f>IF(N99="",0,IF(EXACT(RIGHT(N99,2),"dB"),IF(ABS(VALUE(LEFT(N99,FIND(" ",N99,1)))-O99)&lt;=0.5,1,-1),-1))</f>
        <v>0</v>
      </c>
      <c r="Q99" s="18"/>
      <c r="R99" s="35">
        <f>(10^((100-3+10*LOG10(1/(4*PI()*(3+J99/2)^2)))/10)*COS((90-(30+L99*6))/180*PI()))/(10^((100+10*LOG10(1/(4*PI()*(3+J99/2)^2)))/10)+10^((100-3+10*LOG10(1/(4*PI()*(3+J99/2)^2)))/10))</f>
        <v>0.24810675905195861</v>
      </c>
      <c r="S99" s="7">
        <f>IF(Q99="",0,IF(ABS(VALUE(Q99)-R99)&lt;=0.05,1,-1))</f>
        <v>0</v>
      </c>
      <c r="T99" s="18"/>
      <c r="U99" s="76">
        <f>10*LOG10(10^((100+10*LOG10(1/(4*PI()*(3+J99/2)^2)))/10)+10^((100-3+10*LOG10(1/(4*PI()*(3+J99/2)^2)))/10)+10^((100+10*LOG10(4*(1+L99/10)/(0.16*(2000+K99*100))))/10))-100+31</f>
        <v>12.862608337202843</v>
      </c>
      <c r="V99" s="7">
        <f>IF(T99="",0,IF(EXACT(RIGHT(T99,2),"dB"),IF(ABS(VALUE(LEFT(T99,FIND(" ",T99,1)))-U99)&lt;=0.5,1,-1),-1))</f>
        <v>0</v>
      </c>
      <c r="W99" s="58">
        <v>0.61099999999999999</v>
      </c>
      <c r="X99" s="35">
        <f>(0.5+L99/20)/(1+10^(-(5+K99)/10))</f>
        <v>0.61142188698320099</v>
      </c>
      <c r="Y99" s="7">
        <f>IF(W99="",0,IF(ABS(VALUE(W99)-X99)&lt;=0.05,1,-1))</f>
        <v>1</v>
      </c>
      <c r="Z99" s="18"/>
      <c r="AA99" s="76">
        <f>10*LOG10(1+((100+K99*10+L99)*(0.5+J99/20))/((0.1+J99/100)*(6*(5+L99/2)^2)))</f>
        <v>6.4465802476329372</v>
      </c>
      <c r="AB99" s="7">
        <f>IF(Z99="",0,IF(EXACT(RIGHT(Z99,2),"dB"),IF(ABS(VALUE(LEFT(Z99,FIND(" ",Z99,1)))-AA99)&lt;=0.5,1,-1),-1))</f>
        <v>0</v>
      </c>
      <c r="AC99" s="34">
        <v>0.5</v>
      </c>
      <c r="AD99" s="35">
        <f>0.3+L99/30+0.1</f>
        <v>0.5</v>
      </c>
      <c r="AE99" s="7">
        <f>IF(AC99="",0,IF(ABS(VALUE(AC99)-AD99)&lt;=0.05,1,-1))</f>
        <v>1</v>
      </c>
      <c r="AF99" s="34">
        <v>0.5</v>
      </c>
      <c r="AG99" s="35">
        <f>1-AD99</f>
        <v>0.5</v>
      </c>
      <c r="AH99" s="7">
        <f>IF(AF99="",0,IF(ABS(VALUE(AF99)-AG99)&lt;=0.05,1,-1))</f>
        <v>1</v>
      </c>
      <c r="AI99" s="18"/>
      <c r="AJ99" s="76">
        <f>-10*LOG10(1-(0.3+K99/20))</f>
        <v>4.5593195564972424</v>
      </c>
      <c r="AK99" s="7">
        <f>IF(AI99="",0,IF(EXACT(RIGHT(AI99,2),"dB"),IF(ABS(ABS(VALUE(LEFT(AI99,FIND(" ",AI99,1))))-AJ99)&lt;=0.5,1,-1),-1))</f>
        <v>0</v>
      </c>
      <c r="AL99" s="34">
        <v>0.92444440000000005</v>
      </c>
      <c r="AM99" s="35">
        <f>((0.16*(200+K99*10+L99)/(2+K99/10))-0.16*(200+K99*10+L99)/(6+L99/10))/10</f>
        <v>0.9244444444444444</v>
      </c>
      <c r="AN99" s="7">
        <f>IF(AL99="",0,IF(ABS(VALUE(AL99)-AM99)&lt;=0.05,1,-1))</f>
        <v>1</v>
      </c>
      <c r="AO99" s="18"/>
      <c r="AP99" s="35">
        <f>((0.16*(200+K99*10+L99)/(2+K99/10))-0.16*(200+K99*10+L99)/(6+L99/10))/(10+J99)</f>
        <v>0.57777777777777772</v>
      </c>
      <c r="AQ99" s="7">
        <f>IF(AO99="",0,IF(EXACT(RIGHT(AO99,2),"m2"),IF(ABS(VALUE(LEFT(AO99,FIND(" ",AO99,1)))-AP99)&lt;=0.05,1,-1),-1))</f>
        <v>0</v>
      </c>
      <c r="AR99" s="47">
        <f>M99+P99+S99+V99+Y99+AB99+AE99+AH99+AK99+AN99+AQ99</f>
        <v>6</v>
      </c>
    </row>
    <row r="100" spans="1:44" ht="12.75" x14ac:dyDescent="0.2">
      <c r="A100" s="50">
        <v>98</v>
      </c>
      <c r="B100" s="33">
        <v>41950.765969340275</v>
      </c>
      <c r="C100" s="34" t="s">
        <v>191</v>
      </c>
      <c r="D100" s="34" t="s">
        <v>192</v>
      </c>
      <c r="E100" s="17">
        <v>258561</v>
      </c>
      <c r="F100" s="6">
        <v>1</v>
      </c>
      <c r="G100" s="6">
        <f>INT(E100/100000)</f>
        <v>2</v>
      </c>
      <c r="H100" s="6">
        <f>INT(($E100-100000*G100)/10000)</f>
        <v>5</v>
      </c>
      <c r="I100" s="6">
        <f>INT(($E100-100000*G100-10000*H100)/1000)</f>
        <v>8</v>
      </c>
      <c r="J100" s="6">
        <f>INT(($E100-100000*$G100-10000*$H100-1000*$I100)/100)</f>
        <v>5</v>
      </c>
      <c r="K100" s="6">
        <f>INT(($E100-100000*$G100-10000*$H100-1000*$I100-100*$J100)/10)</f>
        <v>6</v>
      </c>
      <c r="L100" s="6">
        <f>INT(($E100-100000*$G100-10000*$H100-1000*$I100-100*$J100-10*$K100))</f>
        <v>1</v>
      </c>
      <c r="M100" s="7">
        <v>2</v>
      </c>
      <c r="N100" s="18"/>
      <c r="O100" s="76">
        <f>10*LOG10((10^((100+10*LOG10(1/(4*PI()*(3+J100/2)^2)))/10)+10^((100-3+10*LOG10(1/(4*PI()*(3+J100/2)^2)))/10))/10^((100+10*LOG10(4*(1+L100/10)/(0.16*(2000+K100*100))))/10))</f>
        <v>-4.278597264335434</v>
      </c>
      <c r="P100" s="7">
        <f>IF(N100="",0,IF(EXACT(RIGHT(N100,2),"dB"),IF(ABS(VALUE(LEFT(N100,FIND(" ",N100,1)))-O100)&lt;=0.5,1,-1),-1))</f>
        <v>0</v>
      </c>
      <c r="Q100" s="18"/>
      <c r="R100" s="35">
        <f>(10^((100-3+10*LOG10(1/(4*PI()*(3+J100/2)^2)))/10)*COS((90-(30+L100*6))/180*PI()))/(10^((100+10*LOG10(1/(4*PI()*(3+J100/2)^2)))/10)+10^((100-3+10*LOG10(1/(4*PI()*(3+J100/2)^2)))/10))</f>
        <v>0.19623832255191975</v>
      </c>
      <c r="S100" s="7">
        <f>IF(Q100="",0,IF(ABS(VALUE(Q100)-R100)&lt;=0.05,1,-1))</f>
        <v>0</v>
      </c>
      <c r="T100" s="18"/>
      <c r="U100" s="76">
        <f>10*LOG10(10^((100+10*LOG10(1/(4*PI()*(3+J100/2)^2)))/10)+10^((100-3+10*LOG10(1/(4*PI()*(3+J100/2)^2)))/10)+10^((100+10*LOG10(4*(1+L100/10)/(0.16*(2000+K100*100))))/10))-100+31</f>
        <v>12.621471343736474</v>
      </c>
      <c r="V100" s="7">
        <f>IF(T100="",0,IF(EXACT(RIGHT(T100,2),"dB"),IF(ABS(VALUE(LEFT(T100,FIND(" ",T100,1)))-U100)&lt;=0.5,1,-1),-1))</f>
        <v>0</v>
      </c>
      <c r="W100" s="58">
        <v>0.51</v>
      </c>
      <c r="X100" s="35">
        <f>(0.5+L100/20)/(1+10^(-(5+K100)/10))</f>
        <v>0.50952684413533456</v>
      </c>
      <c r="Y100" s="7">
        <f>IF(W100="",0,IF(ABS(VALUE(W100)-X100)&lt;=0.05,1,-1))</f>
        <v>1</v>
      </c>
      <c r="Z100" s="18"/>
      <c r="AA100" s="76">
        <f>10*LOG10(1+((100+K100*10+L100)*(0.5+J100/20))/((0.1+J100/100)*(6*(5+L100/2)^2)))</f>
        <v>7.3522046021607856</v>
      </c>
      <c r="AB100" s="7">
        <f>IF(Z100="",0,IF(EXACT(RIGHT(Z100,2),"dB"),IF(ABS(VALUE(LEFT(Z100,FIND(" ",Z100,1)))-AA100)&lt;=0.5,1,-1),-1))</f>
        <v>0</v>
      </c>
      <c r="AC100" s="34">
        <v>0.43333333330000001</v>
      </c>
      <c r="AD100" s="35">
        <f>0.3+L100/30+0.1</f>
        <v>0.43333333333333335</v>
      </c>
      <c r="AE100" s="7">
        <f>IF(AC100="",0,IF(ABS(VALUE(AC100)-AD100)&lt;=0.05,1,-1))</f>
        <v>1</v>
      </c>
      <c r="AF100" s="34">
        <v>0.56666666669999999</v>
      </c>
      <c r="AG100" s="35">
        <f>1-AD100</f>
        <v>0.56666666666666665</v>
      </c>
      <c r="AH100" s="7">
        <f>IF(AF100="",0,IF(ABS(VALUE(AF100)-AG100)&lt;=0.05,1,-1))</f>
        <v>1</v>
      </c>
      <c r="AI100" s="18"/>
      <c r="AJ100" s="76">
        <f>-10*LOG10(1-(0.3+K100/20))</f>
        <v>3.9794000867203758</v>
      </c>
      <c r="AK100" s="7">
        <f>IF(AI100="",0,IF(EXACT(RIGHT(AI100,2),"dB"),IF(ABS(ABS(VALUE(LEFT(AI100,FIND(" ",AI100,1))))-AJ100)&lt;=0.5,1,-1),-1))</f>
        <v>0</v>
      </c>
      <c r="AL100" s="34">
        <v>0.92156368219999996</v>
      </c>
      <c r="AM100" s="35">
        <f>((0.16*(200+K100*10+L100)/(2+K100/10))-0.16*(200+K100*10+L100)/(6+L100/10))/10</f>
        <v>0.92156368221941987</v>
      </c>
      <c r="AN100" s="7">
        <f>IF(AL100="",0,IF(ABS(VALUE(AL100)-AM100)&lt;=0.05,1,-1))</f>
        <v>1</v>
      </c>
      <c r="AO100" s="18"/>
      <c r="AP100" s="35">
        <f>((0.16*(200+K100*10+L100)/(2+K100/10))-0.16*(200+K100*10+L100)/(6+L100/10))/(10+J100)</f>
        <v>0.61437578814627991</v>
      </c>
      <c r="AQ100" s="7">
        <f>IF(AO100="",0,IF(EXACT(RIGHT(AO100,2),"m2"),IF(ABS(VALUE(LEFT(AO100,FIND(" ",AO100,1)))-AP100)&lt;=0.05,1,-1),-1))</f>
        <v>0</v>
      </c>
      <c r="AR100" s="47">
        <f>M100+P100+S100+V100+Y100+AB100+AE100+AH100+AK100+AN100+AQ100</f>
        <v>6</v>
      </c>
    </row>
    <row r="101" spans="1:44" ht="12.75" x14ac:dyDescent="0.2">
      <c r="A101" s="50">
        <v>99</v>
      </c>
      <c r="B101" s="33">
        <v>41950.766358946763</v>
      </c>
      <c r="C101" s="34" t="s">
        <v>207</v>
      </c>
      <c r="D101" s="34" t="s">
        <v>208</v>
      </c>
      <c r="E101" s="17">
        <v>254915</v>
      </c>
      <c r="F101" s="6">
        <v>1</v>
      </c>
      <c r="G101" s="6">
        <f>INT(E101/100000)</f>
        <v>2</v>
      </c>
      <c r="H101" s="6">
        <f>INT(($E101-100000*G101)/10000)</f>
        <v>5</v>
      </c>
      <c r="I101" s="6">
        <f>INT(($E101-100000*G101-10000*H101)/1000)</f>
        <v>4</v>
      </c>
      <c r="J101" s="6">
        <f>INT(($E101-100000*$G101-10000*$H101-1000*$I101)/100)</f>
        <v>9</v>
      </c>
      <c r="K101" s="6">
        <f>INT(($E101-100000*$G101-10000*$H101-1000*$I101-100*$J101)/10)</f>
        <v>1</v>
      </c>
      <c r="L101" s="6">
        <f>INT(($E101-100000*$G101-10000*$H101-1000*$I101-100*$J101-10*$K101))</f>
        <v>5</v>
      </c>
      <c r="M101" s="7">
        <v>2</v>
      </c>
      <c r="N101" s="34" t="s">
        <v>209</v>
      </c>
      <c r="O101" s="76">
        <f>10*LOG10((10^((100+10*LOG10(1/(4*PI()*(3+J101/2)^2)))/10)+10^((100-3+10*LOG10(1/(4*PI()*(3+J101/2)^2)))/10))/10^((100+10*LOG10(4*(1+L101/10)/(0.16*(2000+K101*100))))/10))</f>
        <v>-9.2470950136280941</v>
      </c>
      <c r="P101" s="7">
        <f>IF(N101="",0,IF(EXACT(RIGHT(N101,2),"dB"),IF(ABS(VALUE(LEFT(N101,FIND(" ",N101,1)))-O101)&lt;=0.5,1,-1),-1))</f>
        <v>-1</v>
      </c>
      <c r="Q101" s="34">
        <v>0.28910000000000002</v>
      </c>
      <c r="R101" s="35">
        <f>(10^((100-3+10*LOG10(1/(4*PI()*(3+J101/2)^2)))/10)*COS((90-(30+L101*6))/180*PI()))/(10^((100+10*LOG10(1/(4*PI()*(3+J101/2)^2)))/10)+10^((100-3+10*LOG10(1/(4*PI()*(3+J101/2)^2)))/10))</f>
        <v>0.28913173963310695</v>
      </c>
      <c r="S101" s="7">
        <f>IF(Q101="",0,IF(ABS(VALUE(Q101)-R101)&lt;=0.05,1,-1))</f>
        <v>1</v>
      </c>
      <c r="T101" s="34" t="s">
        <v>210</v>
      </c>
      <c r="U101" s="76">
        <f>10*LOG10(10^((100+10*LOG10(1/(4*PI()*(3+J101/2)^2)))/10)+10^((100-3+10*LOG10(1/(4*PI()*(3+J101/2)^2)))/10)+10^((100+10*LOG10(4*(1+L101/10)/(0.16*(2000+K101*100))))/10))-100+31</f>
        <v>14.006147931984188</v>
      </c>
      <c r="V101" s="7">
        <f>IF(T101="",0,IF(EXACT(RIGHT(T101,2),"dB"),IF(ABS(VALUE(LEFT(T101,FIND(" ",T101,1)))-U101)&lt;=0.5,1,-1),-1))</f>
        <v>1</v>
      </c>
      <c r="W101" s="58">
        <v>0.59940000000000004</v>
      </c>
      <c r="X101" s="35">
        <f>(0.5+L101/20)/(1+10^(-(5+K101)/10))</f>
        <v>0.59942999331517366</v>
      </c>
      <c r="Y101" s="7">
        <f>IF(W101="",0,IF(ABS(VALUE(W101)-X101)&lt;=0.05,1,-1))</f>
        <v>1</v>
      </c>
      <c r="Z101" s="34" t="s">
        <v>212</v>
      </c>
      <c r="AA101" s="76">
        <f>10*LOG10(1+((100+K101*10+L101)*(0.5+J101/20))/((0.1+J101/100)*(6*(5+L101/2)^2)))</f>
        <v>4.3195909596146862</v>
      </c>
      <c r="AB101" s="7">
        <f>IF(Z101="",0,IF(EXACT(RIGHT(Z101,2),"dB"),IF(ABS(VALUE(LEFT(Z101,FIND(" ",Z101,1)))-AA101)&lt;=0.5,1,-1),-1))</f>
        <v>1</v>
      </c>
      <c r="AC101" s="34">
        <v>0.56659999999999999</v>
      </c>
      <c r="AD101" s="35">
        <f>0.3+L101/30+0.1</f>
        <v>0.56666666666666665</v>
      </c>
      <c r="AE101" s="7">
        <f>IF(AC101="",0,IF(ABS(VALUE(AC101)-AD101)&lt;=0.05,1,-1))</f>
        <v>1</v>
      </c>
      <c r="AF101" s="34">
        <v>0.43330000000000002</v>
      </c>
      <c r="AG101" s="35">
        <f>1-AD101</f>
        <v>0.43333333333333335</v>
      </c>
      <c r="AH101" s="7">
        <f>IF(AF101="",0,IF(ABS(VALUE(AF101)-AG101)&lt;=0.05,1,-1))</f>
        <v>1</v>
      </c>
      <c r="AI101" s="34" t="s">
        <v>211</v>
      </c>
      <c r="AJ101" s="76">
        <f>-10*LOG10(1-(0.3+K101/20))</f>
        <v>1.8708664335714442</v>
      </c>
      <c r="AK101" s="7">
        <f>IF(AI101="",0,IF(EXACT(RIGHT(AI101,2),"dB"),IF(ABS(ABS(VALUE(LEFT(AI101,FIND(" ",AI101,1))))-AJ101)&lt;=0.5,1,-1),-1))</f>
        <v>-1</v>
      </c>
      <c r="AL101" s="34">
        <v>1.1089</v>
      </c>
      <c r="AM101" s="35">
        <f>((0.16*(200+K101*10+L101)/(2+K101/10))-0.16*(200+K101*10+L101)/(6+L101/10))/10</f>
        <v>1.1088644688644689</v>
      </c>
      <c r="AN101" s="7">
        <f>IF(AL101="",0,IF(ABS(VALUE(AL101)-AM101)&lt;=0.05,1,-1))</f>
        <v>1</v>
      </c>
      <c r="AO101" s="34" t="s">
        <v>213</v>
      </c>
      <c r="AP101" s="35">
        <f>((0.16*(200+K101*10+L101)/(2+K101/10))-0.16*(200+K101*10+L101)/(6+L101/10))/(10+J101)</f>
        <v>0.58361287834972042</v>
      </c>
      <c r="AQ101" s="7">
        <f>IF(AO101="",0,IF(EXACT(RIGHT(AO101,2),"m2"),IF(ABS(VALUE(LEFT(AO101,FIND(" ",AO101,1)))-AP101)&lt;=0.05,1,-1),-1))</f>
        <v>-1</v>
      </c>
      <c r="AR101" s="47">
        <f>M101+P101+S101+V101+Y101+AB101+AE101+AH101+AK101+AN101+AQ101</f>
        <v>6</v>
      </c>
    </row>
    <row r="102" spans="1:44" ht="12.75" x14ac:dyDescent="0.2">
      <c r="A102" s="50">
        <v>100</v>
      </c>
      <c r="B102" s="33">
        <v>41950.76750263889</v>
      </c>
      <c r="C102" s="34" t="s">
        <v>320</v>
      </c>
      <c r="D102" s="34" t="s">
        <v>321</v>
      </c>
      <c r="E102" s="17">
        <v>254787</v>
      </c>
      <c r="F102" s="6">
        <v>1</v>
      </c>
      <c r="G102" s="6">
        <f>INT(E102/100000)</f>
        <v>2</v>
      </c>
      <c r="H102" s="6">
        <f>INT(($E102-100000*G102)/10000)</f>
        <v>5</v>
      </c>
      <c r="I102" s="6">
        <f>INT(($E102-100000*G102-10000*H102)/1000)</f>
        <v>4</v>
      </c>
      <c r="J102" s="6">
        <f>INT(($E102-100000*$G102-10000*$H102-1000*$I102)/100)</f>
        <v>7</v>
      </c>
      <c r="K102" s="6">
        <f>INT(($E102-100000*$G102-10000*$H102-1000*$I102-100*$J102)/10)</f>
        <v>8</v>
      </c>
      <c r="L102" s="6">
        <f>INT(($E102-100000*$G102-10000*$H102-1000*$I102-100*$J102-10*$K102))</f>
        <v>7</v>
      </c>
      <c r="M102" s="7">
        <v>2</v>
      </c>
      <c r="N102" s="34" t="s">
        <v>322</v>
      </c>
      <c r="O102" s="76">
        <f>10*LOG10((10^((100+10*LOG10(1/(4*PI()*(3+J102/2)^2)))/10)+10^((100-3+10*LOG10(1/(4*PI()*(3+J102/2)^2)))/10))/10^((100+10*LOG10(4*(1+L102/10)/(0.16*(2000+K102*100))))/10))</f>
        <v>-7.2983261357941362</v>
      </c>
      <c r="P102" s="7">
        <f>IF(N102="",0,IF(EXACT(RIGHT(N102,2),"dB"),IF(ABS(VALUE(LEFT(N102,FIND(" ",N102,1)))-O102)&lt;=0.5,1,-1),-1))</f>
        <v>-1</v>
      </c>
      <c r="Q102" s="34">
        <v>0.32700000000000001</v>
      </c>
      <c r="R102" s="35">
        <f>(10^((100-3+10*LOG10(1/(4*PI()*(3+J102/2)^2)))/10)*COS((90-(30+L102*6))/180*PI()))/(10^((100+10*LOG10(1/(4*PI()*(3+J102/2)^2)))/10)+10^((100-3+10*LOG10(1/(4*PI()*(3+J102/2)^2)))/10))</f>
        <v>0.31752027578427189</v>
      </c>
      <c r="S102" s="7">
        <f>IF(Q102="",0,IF(ABS(VALUE(Q102)-R102)&lt;=0.05,1,-1))</f>
        <v>1</v>
      </c>
      <c r="T102" s="34" t="s">
        <v>323</v>
      </c>
      <c r="U102" s="76">
        <f>10*LOG10(10^((100+10*LOG10(1/(4*PI()*(3+J102/2)^2)))/10)+10^((100-3+10*LOG10(1/(4*PI()*(3+J102/2)^2)))/10)+10^((100+10*LOG10(4*(1+L102/10)/(0.16*(2000+K102*100))))/10))-100+31</f>
        <v>13.55418288923417</v>
      </c>
      <c r="V102" s="7">
        <f>IF(T102="",0,IF(EXACT(RIGHT(T102,2),"dB"),IF(ABS(VALUE(LEFT(T102,FIND(" ",T102,1)))-U102)&lt;=0.5,1,-1),-1))</f>
        <v>1</v>
      </c>
      <c r="W102" s="58">
        <v>0.80942999999999998</v>
      </c>
      <c r="X102" s="35">
        <f>(0.5+L102/20)/(1+10^(-(5+K102)/10))</f>
        <v>0.80943228712092674</v>
      </c>
      <c r="Y102" s="7">
        <f>IF(W102="",0,IF(ABS(VALUE(W102)-X102)&lt;=0.05,1,-1))</f>
        <v>1</v>
      </c>
      <c r="Z102" s="34" t="s">
        <v>325</v>
      </c>
      <c r="AA102" s="76">
        <f>10*LOG10(1+((100+K102*10+L102)*(0.5+J102/20))/((0.1+J102/100)*(6*(5+L102/2)^2)))</f>
        <v>4.9925569993391328</v>
      </c>
      <c r="AB102" s="7">
        <f>IF(Z102="",0,IF(EXACT(RIGHT(Z102,2),"dB"),IF(ABS(VALUE(LEFT(Z102,FIND(" ",Z102,1)))-AA102)&lt;=0.5,1,-1),-1))</f>
        <v>-1</v>
      </c>
      <c r="AC102" s="34">
        <v>0.63300000000000001</v>
      </c>
      <c r="AD102" s="35">
        <f>0.3+L102/30+0.1</f>
        <v>0.6333333333333333</v>
      </c>
      <c r="AE102" s="7">
        <f>IF(AC102="",0,IF(ABS(VALUE(AC102)-AD102)&lt;=0.05,1,-1))</f>
        <v>1</v>
      </c>
      <c r="AF102" s="34">
        <v>0.36699999999999999</v>
      </c>
      <c r="AG102" s="35">
        <f>1-AD102</f>
        <v>0.3666666666666667</v>
      </c>
      <c r="AH102" s="7">
        <f>IF(AF102="",0,IF(ABS(VALUE(AF102)-AG102)&lt;=0.05,1,-1))</f>
        <v>1</v>
      </c>
      <c r="AI102" s="34" t="s">
        <v>324</v>
      </c>
      <c r="AJ102" s="76">
        <f>-10*LOG10(1-(0.3+K102/20))</f>
        <v>5.2287874528033749</v>
      </c>
      <c r="AK102" s="7">
        <f>IF(AI102="",0,IF(EXACT(RIGHT(AI102,2),"dB"),IF(ABS(ABS(VALUE(LEFT(AI102,FIND(" ",AI102,1))))-AJ102)&lt;=0.5,1,-1),-1))</f>
        <v>-1</v>
      </c>
      <c r="AL102" s="34">
        <v>0.95499999999999996</v>
      </c>
      <c r="AM102" s="35">
        <f>((0.16*(200+K102*10+L102)/(2+K102/10))-0.16*(200+K102*10+L102)/(6+L102/10))/10</f>
        <v>0.95462686567164212</v>
      </c>
      <c r="AN102" s="7">
        <f>IF(AL102="",0,IF(ABS(VALUE(AL102)-AM102)&lt;=0.05,1,-1))</f>
        <v>1</v>
      </c>
      <c r="AO102" s="34" t="s">
        <v>326</v>
      </c>
      <c r="AP102" s="35">
        <f>((0.16*(200+K102*10+L102)/(2+K102/10))-0.16*(200+K102*10+L102)/(6+L102/10))/(10+J102)</f>
        <v>0.561545215100966</v>
      </c>
      <c r="AQ102" s="7">
        <f>IF(AO102="",0,IF(EXACT(RIGHT(AO102,2),"m2"),IF(ABS(VALUE(LEFT(AO102,FIND(" ",AO102,1)))-AP102)&lt;=0.05,1,-1),-1))</f>
        <v>1</v>
      </c>
      <c r="AR102" s="47">
        <f>M102+P102+S102+V102+Y102+AB102+AE102+AH102+AK102+AN102+AQ102</f>
        <v>6</v>
      </c>
    </row>
    <row r="103" spans="1:44" ht="12.75" x14ac:dyDescent="0.2">
      <c r="A103" s="50">
        <v>101</v>
      </c>
      <c r="B103" s="33">
        <v>41950.768802291663</v>
      </c>
      <c r="C103" s="34" t="s">
        <v>455</v>
      </c>
      <c r="D103" s="34" t="s">
        <v>456</v>
      </c>
      <c r="E103" s="17">
        <v>239663</v>
      </c>
      <c r="F103" s="6">
        <v>1</v>
      </c>
      <c r="G103" s="6">
        <f>INT(E103/100000)</f>
        <v>2</v>
      </c>
      <c r="H103" s="6">
        <f>INT(($E103-100000*G103)/10000)</f>
        <v>3</v>
      </c>
      <c r="I103" s="6">
        <f>INT(($E103-100000*G103-10000*H103)/1000)</f>
        <v>9</v>
      </c>
      <c r="J103" s="6">
        <f>INT(($E103-100000*$G103-10000*$H103-1000*$I103)/100)</f>
        <v>6</v>
      </c>
      <c r="K103" s="6">
        <f>INT(($E103-100000*$G103-10000*$H103-1000*$I103-100*$J103)/10)</f>
        <v>6</v>
      </c>
      <c r="L103" s="6">
        <f>INT(($E103-100000*$G103-10000*$H103-1000*$I103-100*$J103-10*$K103))</f>
        <v>3</v>
      </c>
      <c r="M103" s="7">
        <v>2</v>
      </c>
      <c r="N103" s="34" t="s">
        <v>457</v>
      </c>
      <c r="O103" s="76">
        <f>10*LOG10((10^((100+10*LOG10(1/(4*PI()*(3+J103/2)^2)))/10)+10^((100-3+10*LOG10(1/(4*PI()*(3+J103/2)^2)))/10))/10^((100+10*LOG10(4*(1+L103/10)/(0.16*(2000+K103*100))))/10))</f>
        <v>-5.7598751536095429</v>
      </c>
      <c r="P103" s="7">
        <f>IF(N103="",0,IF(EXACT(RIGHT(N103,2),"dB"),IF(ABS(VALUE(LEFT(N103,FIND(" ",N103,1)))-O103)&lt;=0.5,1,-1),-1))</f>
        <v>-1</v>
      </c>
      <c r="Q103" s="18"/>
      <c r="R103" s="35">
        <f>(10^((100-3+10*LOG10(1/(4*PI()*(3+J103/2)^2)))/10)*COS((90-(30+L103*6))/180*PI()))/(10^((100+10*LOG10(1/(4*PI()*(3+J103/2)^2)))/10)+10^((100-3+10*LOG10(1/(4*PI()*(3+J103/2)^2)))/10))</f>
        <v>0.24810675905195861</v>
      </c>
      <c r="S103" s="7">
        <f>IF(Q103="",0,IF(ABS(VALUE(Q103)-R103)&lt;=0.05,1,-1))</f>
        <v>0</v>
      </c>
      <c r="T103" s="18"/>
      <c r="U103" s="76">
        <f>10*LOG10(10^((100+10*LOG10(1/(4*PI()*(3+J103/2)^2)))/10)+10^((100-3+10*LOG10(1/(4*PI()*(3+J103/2)^2)))/10)+10^((100+10*LOG10(4*(1+L103/10)/(0.16*(2000+K103*100))))/10))-100+31</f>
        <v>12.991612449420415</v>
      </c>
      <c r="V103" s="7">
        <f>IF(T103="",0,IF(EXACT(RIGHT(T103,2),"dB"),IF(ABS(VALUE(LEFT(T103,FIND(" ",T103,1)))-U103)&lt;=0.5,1,-1),-1))</f>
        <v>0</v>
      </c>
      <c r="W103" s="58">
        <v>0.60199999999999998</v>
      </c>
      <c r="X103" s="35">
        <f>(0.5+L103/20)/(1+10^(-(5+K103)/10))</f>
        <v>0.60216808852357717</v>
      </c>
      <c r="Y103" s="7">
        <f>IF(W103="",0,IF(ABS(VALUE(W103)-X103)&lt;=0.05,1,-1))</f>
        <v>1</v>
      </c>
      <c r="Z103" s="34" t="s">
        <v>459</v>
      </c>
      <c r="AA103" s="76">
        <f>10*LOG10(1+((100+K103*10+L103)*(0.5+J103/20))/((0.1+J103/100)*(6*(5+L103/2)^2)))</f>
        <v>6.2479656283073348</v>
      </c>
      <c r="AB103" s="7">
        <f>IF(Z103="",0,IF(EXACT(RIGHT(Z103,2),"dB"),IF(ABS(VALUE(LEFT(Z103,FIND(" ",Z103,1)))-AA103)&lt;=0.5,1,-1),-1))</f>
        <v>-1</v>
      </c>
      <c r="AC103" s="34">
        <v>0.5</v>
      </c>
      <c r="AD103" s="35">
        <f>0.3+L103/30+0.1</f>
        <v>0.5</v>
      </c>
      <c r="AE103" s="7">
        <f>IF(AC103="",0,IF(ABS(VALUE(AC103)-AD103)&lt;=0.05,1,-1))</f>
        <v>1</v>
      </c>
      <c r="AF103" s="34">
        <v>0.5</v>
      </c>
      <c r="AG103" s="35">
        <f>1-AD103</f>
        <v>0.5</v>
      </c>
      <c r="AH103" s="7">
        <f>IF(AF103="",0,IF(ABS(VALUE(AF103)-AG103)&lt;=0.05,1,-1))</f>
        <v>1</v>
      </c>
      <c r="AI103" s="34" t="s">
        <v>458</v>
      </c>
      <c r="AJ103" s="76">
        <f>-10*LOG10(1-(0.3+K103/20))</f>
        <v>3.9794000867203758</v>
      </c>
      <c r="AK103" s="7">
        <f>IF(AI103="",0,IF(EXACT(RIGHT(AI103,2),"dB"),IF(ABS(ABS(VALUE(LEFT(AI103,FIND(" ",AI103,1))))-AJ103)&lt;=0.5,1,-1),-1))</f>
        <v>1</v>
      </c>
      <c r="AL103" s="34">
        <v>0.95052499999999995</v>
      </c>
      <c r="AM103" s="35">
        <f>((0.16*(200+K103*10+L103)/(2+K103/10))-0.16*(200+K103*10+L103)/(6+L103/10))/10</f>
        <v>0.95052503052503035</v>
      </c>
      <c r="AN103" s="7">
        <f>IF(AL103="",0,IF(ABS(VALUE(AL103)-AM103)&lt;=0.05,1,-1))</f>
        <v>1</v>
      </c>
      <c r="AO103" s="34" t="s">
        <v>460</v>
      </c>
      <c r="AP103" s="35">
        <f>((0.16*(200+K103*10+L103)/(2+K103/10))-0.16*(200+K103*10+L103)/(6+L103/10))/(10+J103)</f>
        <v>0.59407814407814397</v>
      </c>
      <c r="AQ103" s="7">
        <f>IF(AO103="",0,IF(EXACT(RIGHT(AO103,2),"m2"),IF(ABS(VALUE(LEFT(AO103,FIND(" ",AO103,1)))-AP103)&lt;=0.05,1,-1),-1))</f>
        <v>1</v>
      </c>
      <c r="AR103" s="47">
        <f>M103+P103+S103+V103+Y103+AB103+AE103+AH103+AK103+AN103+AQ103</f>
        <v>6</v>
      </c>
    </row>
    <row r="104" spans="1:44" ht="12.75" x14ac:dyDescent="0.2">
      <c r="A104" s="32">
        <v>102</v>
      </c>
      <c r="B104" s="33">
        <v>41950.76893445602</v>
      </c>
      <c r="C104" s="34" t="s">
        <v>494</v>
      </c>
      <c r="D104" s="34" t="s">
        <v>495</v>
      </c>
      <c r="E104" s="17">
        <v>241044</v>
      </c>
      <c r="F104" s="6">
        <v>1</v>
      </c>
      <c r="G104" s="6">
        <f>INT(E104/100000)</f>
        <v>2</v>
      </c>
      <c r="H104" s="6">
        <f>INT(($E104-100000*G104)/10000)</f>
        <v>4</v>
      </c>
      <c r="I104" s="6">
        <f>INT(($E104-100000*G104-10000*H104)/1000)</f>
        <v>1</v>
      </c>
      <c r="J104" s="6">
        <f>INT(($E104-100000*$G104-10000*$H104-1000*$I104)/100)</f>
        <v>0</v>
      </c>
      <c r="K104" s="6">
        <f>INT(($E104-100000*$G104-10000*$H104-1000*$I104-100*$J104)/10)</f>
        <v>4</v>
      </c>
      <c r="L104" s="6">
        <f>INT(($E104-100000*$G104-10000*$H104-1000*$I104-100*$J104-10*$K104))</f>
        <v>4</v>
      </c>
      <c r="M104" s="7">
        <v>2</v>
      </c>
      <c r="N104" s="34" t="s">
        <v>496</v>
      </c>
      <c r="O104" s="76">
        <f>10*LOG10((10^((100+10*LOG10(1/(4*PI()*(3+J104/2)^2)))/10)+10^((100-3+10*LOG10(1/(4*PI()*(3+J104/2)^2)))/10))/10^((100+10*LOG10(4*(1+L104/10)/(0.16*(2000+K104*100))))/10))</f>
        <v>-0.40874313663604528</v>
      </c>
      <c r="P104" s="7">
        <f>IF(N104="",0,IF(EXACT(RIGHT(N104,2),"dB"),IF(ABS(VALUE(LEFT(N104,FIND(" ",N104,1)))-O104)&lt;=0.5,1,-1),-1))</f>
        <v>-1</v>
      </c>
      <c r="Q104" s="18"/>
      <c r="R104" s="35">
        <f>(10^((100-3+10*LOG10(1/(4*PI()*(3+J104/2)^2)))/10)*COS((90-(30+L104*6))/180*PI()))/(10^((100+10*LOG10(1/(4*PI()*(3+J104/2)^2)))/10)+10^((100-3+10*LOG10(1/(4*PI()*(3+J104/2)^2)))/10))</f>
        <v>0.27009887926405352</v>
      </c>
      <c r="S104" s="7">
        <f>IF(Q104="",0,IF(ABS(VALUE(Q104)-R104)&lt;=0.05,1,-1))</f>
        <v>0</v>
      </c>
      <c r="T104" s="18"/>
      <c r="U104" s="76">
        <f>10*LOG10(10^((100+10*LOG10(1/(4*PI()*(3+J104/2)^2)))/10)+10^((100-3+10*LOG10(1/(4*PI()*(3+J104/2)^2)))/10)+10^((100+10*LOG10(4*(1+L104/10)/(0.16*(2000+K104*100))))/10))-100+31</f>
        <v>15.449303329499813</v>
      </c>
      <c r="V104" s="7">
        <f>IF(T104="",0,IF(EXACT(RIGHT(T104,2),"dB"),IF(ABS(VALUE(LEFT(T104,FIND(" ",T104,1)))-U104)&lt;=0.5,1,-1),-1))</f>
        <v>0</v>
      </c>
      <c r="W104" s="58">
        <v>0.621</v>
      </c>
      <c r="X104" s="35">
        <f>(0.5+L104/20)/(1+10^(-(5+K104)/10))</f>
        <v>0.62172896115531806</v>
      </c>
      <c r="Y104" s="7">
        <f>IF(W104="",0,IF(ABS(VALUE(W104)-X104)&lt;=0.05,1,-1))</f>
        <v>1</v>
      </c>
      <c r="Z104" s="34" t="s">
        <v>498</v>
      </c>
      <c r="AA104" s="76">
        <f>10*LOG10(1+((100+K104*10+L104)*(0.5+J104/20))/((0.1+J104/100)*(6*(5+L104/2)^2)))</f>
        <v>5.3769062458515986</v>
      </c>
      <c r="AB104" s="7">
        <f>IF(Z104="",0,IF(EXACT(RIGHT(Z104,2),"dB"),IF(ABS(VALUE(LEFT(Z104,FIND(" ",Z104,1)))-AA104)&lt;=0.5,1,-1),-1))</f>
        <v>-1</v>
      </c>
      <c r="AC104" s="34">
        <v>0.5333</v>
      </c>
      <c r="AD104" s="35">
        <f>0.3+L104/30+0.1</f>
        <v>0.53333333333333333</v>
      </c>
      <c r="AE104" s="7">
        <f>IF(AC104="",0,IF(ABS(VALUE(AC104)-AD104)&lt;=0.05,1,-1))</f>
        <v>1</v>
      </c>
      <c r="AF104" s="34">
        <v>0.46700000000000003</v>
      </c>
      <c r="AG104" s="35">
        <f>1-AD104</f>
        <v>0.46666666666666667</v>
      </c>
      <c r="AH104" s="7">
        <f>IF(AF104="",0,IF(ABS(VALUE(AF104)-AG104)&lt;=0.05,1,-1))</f>
        <v>1</v>
      </c>
      <c r="AI104" s="34" t="s">
        <v>497</v>
      </c>
      <c r="AJ104" s="76">
        <f>-10*LOG10(1-(0.3+K104/20))</f>
        <v>3.0102999566398121</v>
      </c>
      <c r="AK104" s="7">
        <f>IF(AI104="",0,IF(EXACT(RIGHT(AI104,2),"dB"),IF(ABS(ABS(VALUE(LEFT(AI104,FIND(" ",AI104,1))))-AJ104)&lt;=0.5,1,-1),-1))</f>
        <v>1</v>
      </c>
      <c r="AL104" s="34">
        <v>1.016667</v>
      </c>
      <c r="AM104" s="35">
        <f>((0.16*(200+K104*10+L104)/(2+K104/10))-0.16*(200+K104*10+L104)/(6+L104/10))/10</f>
        <v>1.0166666666666666</v>
      </c>
      <c r="AN104" s="7">
        <f>IF(AL104="",0,IF(ABS(VALUE(AL104)-AM104)&lt;=0.05,1,-1))</f>
        <v>1</v>
      </c>
      <c r="AO104" s="34" t="s">
        <v>499</v>
      </c>
      <c r="AP104" s="35">
        <f>((0.16*(200+K104*10+L104)/(2+K104/10))-0.16*(200+K104*10+L104)/(6+L104/10))/(10+J104)</f>
        <v>1.0166666666666666</v>
      </c>
      <c r="AQ104" s="7">
        <f>IF(AO104="",0,IF(EXACT(RIGHT(AO104,2),"m2"),IF(ABS(VALUE(LEFT(AO104,FIND(" ",AO104,1)))-AP104)&lt;=0.05,1,-1),-1))</f>
        <v>1</v>
      </c>
      <c r="AR104" s="47">
        <f>M104+P104+S104+V104+Y104+AB104+AE104+AH104+AK104+AN104+AQ104</f>
        <v>6</v>
      </c>
    </row>
    <row r="105" spans="1:44" ht="12.75" x14ac:dyDescent="0.2">
      <c r="A105" s="32">
        <v>103</v>
      </c>
      <c r="B105" s="33">
        <v>41950.769757361108</v>
      </c>
      <c r="C105" s="34" t="s">
        <v>582</v>
      </c>
      <c r="D105" s="34" t="s">
        <v>583</v>
      </c>
      <c r="E105" s="17">
        <v>240612</v>
      </c>
      <c r="F105" s="6">
        <v>1</v>
      </c>
      <c r="G105" s="6">
        <f>INT(E105/100000)</f>
        <v>2</v>
      </c>
      <c r="H105" s="6">
        <f>INT(($E105-100000*G105)/10000)</f>
        <v>4</v>
      </c>
      <c r="I105" s="6">
        <f>INT(($E105-100000*G105-10000*H105)/1000)</f>
        <v>0</v>
      </c>
      <c r="J105" s="6">
        <f>INT(($E105-100000*$G105-10000*$H105-1000*$I105)/100)</f>
        <v>6</v>
      </c>
      <c r="K105" s="6">
        <f>INT(($E105-100000*$G105-10000*$H105-1000*$I105-100*$J105)/10)</f>
        <v>1</v>
      </c>
      <c r="L105" s="6">
        <f>INT(($E105-100000*$G105-10000*$H105-1000*$I105-100*$J105-10*$K105))</f>
        <v>2</v>
      </c>
      <c r="M105" s="7">
        <v>2</v>
      </c>
      <c r="N105" s="34" t="s">
        <v>584</v>
      </c>
      <c r="O105" s="76">
        <f>10*LOG10((10^((100+10*LOG10(1/(4*PI()*(3+J105/2)^2)))/10)+10^((100-3+10*LOG10(1/(4*PI()*(3+J105/2)^2)))/10))/10^((100+10*LOG10(4*(1+L105/10)/(0.16*(2000+K105*100))))/10))</f>
        <v>-6.3397946233864113</v>
      </c>
      <c r="P105" s="7">
        <f>IF(N105="",0,IF(EXACT(RIGHT(N105,2),"dB"),IF(ABS(VALUE(LEFT(N105,FIND(" ",N105,1)))-O105)&lt;=0.5,1,-1),-1))</f>
        <v>-1</v>
      </c>
      <c r="Q105" s="18"/>
      <c r="R105" s="35">
        <f>(10^((100-3+10*LOG10(1/(4*PI()*(3+J105/2)^2)))/10)*COS((90-(30+L105*6))/180*PI()))/(10^((100+10*LOG10(1/(4*PI()*(3+J105/2)^2)))/10)+10^((100-3+10*LOG10(1/(4*PI()*(3+J105/2)^2)))/10))</f>
        <v>0.22339632926801328</v>
      </c>
      <c r="S105" s="7">
        <f>IF(Q105="",0,IF(ABS(VALUE(Q105)-R105)&lt;=0.05,1,-1))</f>
        <v>0</v>
      </c>
      <c r="T105" s="18"/>
      <c r="U105" s="76">
        <f>10*LOG10(10^((100+10*LOG10(1/(4*PI()*(3+J105/2)^2)))/10)+10^((100-3+10*LOG10(1/(4*PI()*(3+J105/2)^2)))/10)+10^((100+10*LOG10(4*(1+L105/10)/(0.16*(2000+K105*100))))/10))-100+31</f>
        <v>13.45613003647037</v>
      </c>
      <c r="V105" s="7">
        <f>IF(T105="",0,IF(EXACT(RIGHT(T105,2),"dB"),IF(ABS(VALUE(LEFT(T105,FIND(" ",T105,1)))-U105)&lt;=0.5,1,-1),-1))</f>
        <v>0</v>
      </c>
      <c r="W105" s="58">
        <v>0.47949999999999998</v>
      </c>
      <c r="X105" s="35">
        <f>(0.5+L105/20)/(1+10^(-(5+K105)/10))</f>
        <v>0.47954399465213893</v>
      </c>
      <c r="Y105" s="7">
        <f>IF(W105="",0,IF(ABS(VALUE(W105)-X105)&lt;=0.05,1,-1))</f>
        <v>1</v>
      </c>
      <c r="Z105" s="34" t="s">
        <v>586</v>
      </c>
      <c r="AA105" s="76">
        <f>10*LOG10(1+((100+K105*10+L105)*(0.5+J105/20))/((0.1+J105/100)*(6*(5+L105/2)^2)))</f>
        <v>5.5540797010725749</v>
      </c>
      <c r="AB105" s="7">
        <f>IF(Z105="",0,IF(EXACT(RIGHT(Z105,2),"dB"),IF(ABS(VALUE(LEFT(Z105,FIND(" ",Z105,1)))-AA105)&lt;=0.5,1,-1),-1))</f>
        <v>-1</v>
      </c>
      <c r="AC105" s="34">
        <v>0.4667</v>
      </c>
      <c r="AD105" s="35">
        <f>0.3+L105/30+0.1</f>
        <v>0.46666666666666667</v>
      </c>
      <c r="AE105" s="7">
        <f>IF(AC105="",0,IF(ABS(VALUE(AC105)-AD105)&lt;=0.05,1,-1))</f>
        <v>1</v>
      </c>
      <c r="AF105" s="34">
        <v>0.5333</v>
      </c>
      <c r="AG105" s="35">
        <f>1-AD105</f>
        <v>0.53333333333333333</v>
      </c>
      <c r="AH105" s="7">
        <f>IF(AF105="",0,IF(ABS(VALUE(AF105)-AG105)&lt;=0.05,1,-1))</f>
        <v>1</v>
      </c>
      <c r="AI105" s="34" t="s">
        <v>585</v>
      </c>
      <c r="AJ105" s="76">
        <f>-10*LOG10(1-(0.3+K105/20))</f>
        <v>1.8708664335714442</v>
      </c>
      <c r="AK105" s="7">
        <f>IF(AI105="",0,IF(EXACT(RIGHT(AI105,2),"dB"),IF(ABS(ABS(VALUE(LEFT(AI105,FIND(" ",AI105,1))))-AJ105)&lt;=0.5,1,-1),-1))</f>
        <v>1</v>
      </c>
      <c r="AL105" s="34">
        <v>1.0680000000000001</v>
      </c>
      <c r="AM105" s="35">
        <f>((0.16*(200+K105*10+L105)/(2+K105/10))-0.16*(200+K105*10+L105)/(6+L105/10))/10</f>
        <v>1.0681413210445467</v>
      </c>
      <c r="AN105" s="7">
        <f>IF(AL105="",0,IF(ABS(VALUE(AL105)-AM105)&lt;=0.05,1,-1))</f>
        <v>1</v>
      </c>
      <c r="AO105" s="34" t="s">
        <v>587</v>
      </c>
      <c r="AP105" s="35">
        <f>((0.16*(200+K105*10+L105)/(2+K105/10))-0.16*(200+K105*10+L105)/(6+L105/10))/(10+J105)</f>
        <v>0.66758832565284176</v>
      </c>
      <c r="AQ105" s="7">
        <f>IF(AO105="",0,IF(EXACT(RIGHT(AO105,2),"m2"),IF(ABS(VALUE(LEFT(AO105,FIND(" ",AO105,1)))-AP105)&lt;=0.05,1,-1),-1))</f>
        <v>1</v>
      </c>
      <c r="AR105" s="47">
        <f>M105+P105+S105+V105+Y105+AB105+AE105+AH105+AK105+AN105+AQ105</f>
        <v>6</v>
      </c>
    </row>
    <row r="106" spans="1:44" ht="12.75" x14ac:dyDescent="0.2">
      <c r="A106" s="32">
        <v>104</v>
      </c>
      <c r="B106" s="33">
        <v>41950.769802905088</v>
      </c>
      <c r="C106" s="34" t="s">
        <v>593</v>
      </c>
      <c r="D106" s="34" t="s">
        <v>594</v>
      </c>
      <c r="E106" s="17">
        <v>225754</v>
      </c>
      <c r="F106" s="6">
        <v>1</v>
      </c>
      <c r="G106" s="6">
        <f>INT(E106/100000)</f>
        <v>2</v>
      </c>
      <c r="H106" s="6">
        <f>INT(($E106-100000*G106)/10000)</f>
        <v>2</v>
      </c>
      <c r="I106" s="6">
        <f>INT(($E106-100000*G106-10000*H106)/1000)</f>
        <v>5</v>
      </c>
      <c r="J106" s="6">
        <f>INT(($E106-100000*$G106-10000*$H106-1000*$I106)/100)</f>
        <v>7</v>
      </c>
      <c r="K106" s="6">
        <f>INT(($E106-100000*$G106-10000*$H106-1000*$I106-100*$J106)/10)</f>
        <v>5</v>
      </c>
      <c r="L106" s="6">
        <f>INT(($E106-100000*$G106-10000*$H106-1000*$I106-100*$J106-10*$K106))</f>
        <v>4</v>
      </c>
      <c r="M106" s="7">
        <v>2</v>
      </c>
      <c r="N106" s="36" t="s">
        <v>595</v>
      </c>
      <c r="O106" s="76">
        <f>10*LOG10((10^((100+10*LOG10(1/(4*PI()*(3+J106/2)^2)))/10)+10^((100-3+10*LOG10(1/(4*PI()*(3+J106/2)^2)))/10))/10^((100+10*LOG10(4*(1+L106/10)/(0.16*(2000+K106*100))))/10))</f>
        <v>-6.9472975054955981</v>
      </c>
      <c r="P106" s="7">
        <f>IF(N106="",0,IF(EXACT(RIGHT(N106,2),"dB"),IF(ABS(VALUE(LEFT(N106,FIND(" ",N106,1)))-O106)&lt;=0.5,1,-1),-1))</f>
        <v>-1</v>
      </c>
      <c r="Q106" s="18"/>
      <c r="R106" s="35">
        <f>(10^((100-3+10*LOG10(1/(4*PI()*(3+J106/2)^2)))/10)*COS((90-(30+L106*6))/180*PI()))/(10^((100+10*LOG10(1/(4*PI()*(3+J106/2)^2)))/10)+10^((100-3+10*LOG10(1/(4*PI()*(3+J106/2)^2)))/10))</f>
        <v>0.27009887926405357</v>
      </c>
      <c r="S106" s="7">
        <f>IF(Q106="",0,IF(ABS(VALUE(Q106)-R106)&lt;=0.05,1,-1))</f>
        <v>0</v>
      </c>
      <c r="T106" s="18"/>
      <c r="U106" s="76">
        <f>10*LOG10(10^((100+10*LOG10(1/(4*PI()*(3+J106/2)^2)))/10)+10^((100-3+10*LOG10(1/(4*PI()*(3+J106/2)^2)))/10)+10^((100+10*LOG10(4*(1+L106/10)/(0.16*(2000+K106*100))))/10))-100+31</f>
        <v>13.260188719255694</v>
      </c>
      <c r="V106" s="7">
        <f>IF(T106="",0,IF(EXACT(RIGHT(T106,2),"dB"),IF(ABS(VALUE(LEFT(T106,FIND(" ",T106,1)))-U106)&lt;=0.5,1,-1),-1))</f>
        <v>0</v>
      </c>
      <c r="W106" s="58">
        <v>0.63639999999999997</v>
      </c>
      <c r="X106" s="35">
        <f>(0.5+L106/20)/(1+10^(-(5+K106)/10))</f>
        <v>0.63636363636363624</v>
      </c>
      <c r="Y106" s="7">
        <f>IF(W106="",0,IF(ABS(VALUE(W106)-X106)&lt;=0.05,1,-1))</f>
        <v>1</v>
      </c>
      <c r="Z106" s="34" t="s">
        <v>597</v>
      </c>
      <c r="AA106" s="76">
        <f>10*LOG10(1+((100+K106*10+L106)*(0.5+J106/20))/((0.1+J106/100)*(6*(5+L106/2)^2)))</f>
        <v>5.5859429754687202</v>
      </c>
      <c r="AB106" s="7">
        <f>IF(Z106="",0,IF(EXACT(RIGHT(Z106,2),"dB"),IF(ABS(VALUE(LEFT(Z106,FIND(" ",Z106,1)))-AA106)&lt;=0.5,1,-1),-1))</f>
        <v>1</v>
      </c>
      <c r="AC106" s="34">
        <v>0.53300000000000003</v>
      </c>
      <c r="AD106" s="35">
        <f>0.3+L106/30+0.1</f>
        <v>0.53333333333333333</v>
      </c>
      <c r="AE106" s="7">
        <f>IF(AC106="",0,IF(ABS(VALUE(AC106)-AD106)&lt;=0.05,1,-1))</f>
        <v>1</v>
      </c>
      <c r="AF106" s="34">
        <v>0.46600000000000003</v>
      </c>
      <c r="AG106" s="35">
        <f>1-AD106</f>
        <v>0.46666666666666667</v>
      </c>
      <c r="AH106" s="7">
        <f>IF(AF106="",0,IF(ABS(VALUE(AF106)-AG106)&lt;=0.05,1,-1))</f>
        <v>1</v>
      </c>
      <c r="AI106" s="36" t="s">
        <v>596</v>
      </c>
      <c r="AJ106" s="76">
        <f>-10*LOG10(1-(0.3+K106/20))</f>
        <v>3.467874862246564</v>
      </c>
      <c r="AK106" s="7">
        <f>IF(AI106="",0,IF(EXACT(RIGHT(AI106,2),"dB"),IF(ABS(ABS(VALUE(LEFT(AI106,FIND(" ",AI106,1))))-AJ106)&lt;=0.5,1,-1),-1))</f>
        <v>1</v>
      </c>
      <c r="AL106" s="34">
        <v>1.0101</v>
      </c>
      <c r="AM106" s="35">
        <f>((0.16*(200+K106*10+L106)/(2+K106/10))-0.16*(200+K106*10+L106)/(6+L106/10))/10</f>
        <v>0.99060000000000004</v>
      </c>
      <c r="AN106" s="7">
        <f>IF(AL106="",0,IF(ABS(VALUE(AL106)-AM106)&lt;=0.05,1,-1))</f>
        <v>1</v>
      </c>
      <c r="AO106" s="34" t="s">
        <v>598</v>
      </c>
      <c r="AP106" s="35">
        <f>((0.16*(200+K106*10+L106)/(2+K106/10))-0.16*(200+K106*10+L106)/(6+L106/10))/(10+J106)</f>
        <v>0.58270588235294118</v>
      </c>
      <c r="AQ106" s="7">
        <f>IF(AO106="",0,IF(EXACT(RIGHT(AO106,2),"m2"),IF(ABS(VALUE(LEFT(AO106,FIND(" ",AO106,1)))-AP106)&lt;=0.05,1,-1),-1))</f>
        <v>-1</v>
      </c>
      <c r="AR106" s="47">
        <f>M106+P106+S106+V106+Y106+AB106+AE106+AH106+AK106+AN106+AQ106</f>
        <v>6</v>
      </c>
    </row>
    <row r="107" spans="1:44" ht="12.75" x14ac:dyDescent="0.2">
      <c r="A107" s="32">
        <v>105</v>
      </c>
      <c r="B107" s="33">
        <v>41950.769843981485</v>
      </c>
      <c r="C107" s="34" t="s">
        <v>599</v>
      </c>
      <c r="D107" s="34" t="s">
        <v>600</v>
      </c>
      <c r="E107" s="17">
        <v>231528</v>
      </c>
      <c r="F107" s="6">
        <v>1</v>
      </c>
      <c r="G107" s="6">
        <f>INT(E107/100000)</f>
        <v>2</v>
      </c>
      <c r="H107" s="6">
        <f>INT(($E107-100000*G107)/10000)</f>
        <v>3</v>
      </c>
      <c r="I107" s="6">
        <f>INT(($E107-100000*G107-10000*H107)/1000)</f>
        <v>1</v>
      </c>
      <c r="J107" s="6">
        <f>INT(($E107-100000*$G107-10000*$H107-1000*$I107)/100)</f>
        <v>5</v>
      </c>
      <c r="K107" s="6">
        <f>INT(($E107-100000*$G107-10000*$H107-1000*$I107-100*$J107)/10)</f>
        <v>2</v>
      </c>
      <c r="L107" s="6">
        <f>INT(($E107-100000*$G107-10000*$H107-1000*$I107-100*$J107-10*$K107))</f>
        <v>8</v>
      </c>
      <c r="M107" s="7">
        <v>2</v>
      </c>
      <c r="N107" s="34" t="s">
        <v>601</v>
      </c>
      <c r="O107" s="76">
        <f>10*LOG10((10^((100+10*LOG10(1/(4*PI()*(3+J107/2)^2)))/10)+10^((100-3+10*LOG10(1/(4*PI()*(3+J107/2)^2)))/10))/10^((100+10*LOG10(4*(1+L107/10)/(0.16*(2000+K107*100))))/10))</f>
        <v>-7.1429021352723616</v>
      </c>
      <c r="P107" s="7">
        <f>IF(N107="",0,IF(EXACT(RIGHT(N107,2),"dB"),IF(ABS(VALUE(LEFT(N107,FIND(" ",N107,1)))-O107)&lt;=0.5,1,-1),-1))</f>
        <v>-1</v>
      </c>
      <c r="Q107" s="18"/>
      <c r="R107" s="35">
        <f>(10^((100-3+10*LOG10(1/(4*PI()*(3+J107/2)^2)))/10)*COS((90-(30+L107*6))/180*PI()))/(10^((100+10*LOG10(1/(4*PI()*(3+J107/2)^2)))/10)+10^((100-3+10*LOG10(1/(4*PI()*(3+J107/2)^2)))/10))</f>
        <v>0.32656492082362676</v>
      </c>
      <c r="S107" s="7">
        <f>IF(Q107="",0,IF(ABS(VALUE(Q107)-R107)&lt;=0.05,1,-1))</f>
        <v>0</v>
      </c>
      <c r="T107" s="18"/>
      <c r="U107" s="76">
        <f>10*LOG10(10^((100+10*LOG10(1/(4*PI()*(3+J107/2)^2)))/10)+10^((100-3+10*LOG10(1/(4*PI()*(3+J107/2)^2)))/10)+10^((100+10*LOG10(4*(1+L107/10)/(0.16*(2000+K107*100))))/10))-100+31</f>
        <v>14.874549476053289</v>
      </c>
      <c r="V107" s="7">
        <f>IF(T107="",0,IF(EXACT(RIGHT(T107,2),"dB"),IF(ABS(VALUE(LEFT(T107,FIND(" ",T107,1)))-U107)&lt;=0.5,1,-1),-1))</f>
        <v>0</v>
      </c>
      <c r="W107" s="58">
        <v>0.9</v>
      </c>
      <c r="X107" s="35">
        <f>(0.5+L107/20)/(1+10^(-(5+K107)/10))</f>
        <v>0.75029622226509429</v>
      </c>
      <c r="Y107" s="7">
        <f>IF(W107="",0,IF(ABS(VALUE(W107)-X107)&lt;=0.05,1,-1))</f>
        <v>-1</v>
      </c>
      <c r="Z107" s="34" t="s">
        <v>603</v>
      </c>
      <c r="AA107" s="76">
        <f>10*LOG10(1+((100+K107*10+L107)*(0.5+J107/20))/((0.1+J107/100)*(6*(5+L107/2)^2)))</f>
        <v>3.6490212125303407</v>
      </c>
      <c r="AB107" s="7">
        <f>IF(Z107="",0,IF(EXACT(RIGHT(Z107,2),"dB"),IF(ABS(VALUE(LEFT(Z107,FIND(" ",Z107,1)))-AA107)&lt;=0.5,1,-1),-1))</f>
        <v>1</v>
      </c>
      <c r="AC107" s="34">
        <v>0.66669999999999996</v>
      </c>
      <c r="AD107" s="35">
        <f>0.3+L107/30+0.1</f>
        <v>0.66666666666666663</v>
      </c>
      <c r="AE107" s="7">
        <f>IF(AC107="",0,IF(ABS(VALUE(AC107)-AD107)&lt;=0.05,1,-1))</f>
        <v>1</v>
      </c>
      <c r="AF107" s="34">
        <v>0.33329999999999999</v>
      </c>
      <c r="AG107" s="35">
        <f>1-AD107</f>
        <v>0.33333333333333337</v>
      </c>
      <c r="AH107" s="7">
        <f>IF(AF107="",0,IF(ABS(VALUE(AF107)-AG107)&lt;=0.05,1,-1))</f>
        <v>1</v>
      </c>
      <c r="AI107" s="36" t="s">
        <v>602</v>
      </c>
      <c r="AJ107" s="76">
        <f>-10*LOG10(1-(0.3+K107/20))</f>
        <v>2.2184874961635641</v>
      </c>
      <c r="AK107" s="7">
        <f>IF(AI107="",0,IF(EXACT(RIGHT(AI107,2),"dB"),IF(ABS(ABS(VALUE(LEFT(AI107,FIND(" ",AI107,1))))-AJ107)&lt;=0.5,1,-1),-1))</f>
        <v>1</v>
      </c>
      <c r="AL107" s="34">
        <v>1.1216999999999999</v>
      </c>
      <c r="AM107" s="35">
        <f>((0.16*(200+K107*10+L107)/(2+K107/10))-0.16*(200+K107*10+L107)/(6+L107/10))/10</f>
        <v>1.1217112299465239</v>
      </c>
      <c r="AN107" s="7">
        <f>IF(AL107="",0,IF(ABS(VALUE(AL107)-AM107)&lt;=0.05,1,-1))</f>
        <v>1</v>
      </c>
      <c r="AO107" s="34" t="s">
        <v>604</v>
      </c>
      <c r="AP107" s="35">
        <f>((0.16*(200+K107*10+L107)/(2+K107/10))-0.16*(200+K107*10+L107)/(6+L107/10))/(10+J107)</f>
        <v>0.74780748663101604</v>
      </c>
      <c r="AQ107" s="7">
        <f>IF(AO107="",0,IF(EXACT(RIGHT(AO107,2),"m2"),IF(ABS(VALUE(LEFT(AO107,FIND(" ",AO107,1)))-AP107)&lt;=0.05,1,-1),-1))</f>
        <v>1</v>
      </c>
      <c r="AR107" s="47">
        <f>M107+P107+S107+V107+Y107+AB107+AE107+AH107+AK107+AN107+AQ107</f>
        <v>6</v>
      </c>
    </row>
    <row r="108" spans="1:44" ht="12.75" x14ac:dyDescent="0.2">
      <c r="A108" s="32">
        <v>106</v>
      </c>
      <c r="B108" s="33">
        <v>41950.769848946758</v>
      </c>
      <c r="C108" s="34" t="s">
        <v>605</v>
      </c>
      <c r="D108" s="34" t="s">
        <v>606</v>
      </c>
      <c r="E108" s="17">
        <v>256904</v>
      </c>
      <c r="F108" s="6">
        <v>1</v>
      </c>
      <c r="G108" s="6">
        <f>INT(E108/100000)</f>
        <v>2</v>
      </c>
      <c r="H108" s="6">
        <f>INT(($E108-100000*G108)/10000)</f>
        <v>5</v>
      </c>
      <c r="I108" s="6">
        <f>INT(($E108-100000*G108-10000*H108)/1000)</f>
        <v>6</v>
      </c>
      <c r="J108" s="6">
        <f>INT(($E108-100000*$G108-10000*$H108-1000*$I108)/100)</f>
        <v>9</v>
      </c>
      <c r="K108" s="6">
        <f>INT(($E108-100000*$G108-10000*$H108-1000*$I108-100*$J108)/10)</f>
        <v>0</v>
      </c>
      <c r="L108" s="6">
        <f>INT(($E108-100000*$G108-10000*$H108-1000*$I108-100*$J108-10*$K108))</f>
        <v>4</v>
      </c>
      <c r="M108" s="7">
        <v>2</v>
      </c>
      <c r="N108" s="18"/>
      <c r="O108" s="76">
        <f>10*LOG10((10^((100+10*LOG10(1/(4*PI()*(3+J108/2)^2)))/10)+10^((100-3+10*LOG10(1/(4*PI()*(3+J108/2)^2)))/10))/10^((100+10*LOG10(4*(1+L108/10)/(0.16*(2000+K108*100))))/10))</f>
        <v>-9.1593557705530575</v>
      </c>
      <c r="P108" s="7">
        <f>IF(N108="",0,IF(EXACT(RIGHT(N108,2),"dB"),IF(ABS(VALUE(LEFT(N108,FIND(" ",N108,1)))-O108)&lt;=0.5,1,-1),-1))</f>
        <v>0</v>
      </c>
      <c r="Q108" s="18"/>
      <c r="R108" s="35">
        <f>(10^((100-3+10*LOG10(1/(4*PI()*(3+J108/2)^2)))/10)*COS((90-(30+L108*6))/180*PI()))/(10^((100+10*LOG10(1/(4*PI()*(3+J108/2)^2)))/10)+10^((100-3+10*LOG10(1/(4*PI()*(3+J108/2)^2)))/10))</f>
        <v>0.27009887926405324</v>
      </c>
      <c r="S108" s="7">
        <f>IF(Q108="",0,IF(ABS(VALUE(Q108)-R108)&lt;=0.05,1,-1))</f>
        <v>0</v>
      </c>
      <c r="T108" s="18"/>
      <c r="U108" s="76">
        <f>10*LOG10(10^((100+10*LOG10(1/(4*PI()*(3+J108/2)^2)))/10)+10^((100-3+10*LOG10(1/(4*PI()*(3+J108/2)^2)))/10)+10^((100+10*LOG10(4*(1+L108/10)/(0.16*(2000+K108*100))))/10))-100+31</f>
        <v>13.92781902875268</v>
      </c>
      <c r="V108" s="7">
        <f>IF(T108="",0,IF(EXACT(RIGHT(T108,2),"dB"),IF(ABS(VALUE(LEFT(T108,FIND(" ",T108,1)))-U108)&lt;=0.5,1,-1),-1))</f>
        <v>0</v>
      </c>
      <c r="W108" s="58">
        <v>0.53200000000000003</v>
      </c>
      <c r="X108" s="35">
        <f>(0.5+L108/20)/(1+10^(-(5+K108)/10))</f>
        <v>0.53182284865357043</v>
      </c>
      <c r="Y108" s="7">
        <f>IF(W108="",0,IF(ABS(VALUE(W108)-X108)&lt;=0.05,1,-1))</f>
        <v>1</v>
      </c>
      <c r="Z108" s="34" t="s">
        <v>607</v>
      </c>
      <c r="AA108" s="76">
        <f>10*LOG10(1+((100+K108*10+L108)*(0.5+J108/20))/((0.1+J108/100)*(6*(5+L108/2)^2)))</f>
        <v>4.4227707447704399</v>
      </c>
      <c r="AB108" s="7">
        <f>IF(Z108="",0,IF(EXACT(RIGHT(Z108,2),"dB"),IF(ABS(VALUE(LEFT(Z108,FIND(" ",Z108,1)))-AA108)&lt;=0.5,1,-1),-1))</f>
        <v>-1</v>
      </c>
      <c r="AC108" s="34">
        <v>0.5333</v>
      </c>
      <c r="AD108" s="35">
        <f>0.3+L108/30+0.1</f>
        <v>0.53333333333333333</v>
      </c>
      <c r="AE108" s="7">
        <f>IF(AC108="",0,IF(ABS(VALUE(AC108)-AD108)&lt;=0.05,1,-1))</f>
        <v>1</v>
      </c>
      <c r="AF108" s="34">
        <v>0.46600000000000003</v>
      </c>
      <c r="AG108" s="35">
        <f>1-AD108</f>
        <v>0.46666666666666667</v>
      </c>
      <c r="AH108" s="7">
        <f>IF(AF108="",0,IF(ABS(VALUE(AF108)-AG108)&lt;=0.05,1,-1))</f>
        <v>1</v>
      </c>
      <c r="AI108" s="18"/>
      <c r="AJ108" s="76">
        <f>-10*LOG10(1-(0.3+K108/20))</f>
        <v>1.5490195998574319</v>
      </c>
      <c r="AK108" s="7">
        <f>IF(AI108="",0,IF(EXACT(RIGHT(AI108,2),"dB"),IF(ABS(ABS(VALUE(LEFT(AI108,FIND(" ",AI108,1))))-AJ108)&lt;=0.5,1,-1),-1))</f>
        <v>0</v>
      </c>
      <c r="AL108" s="34">
        <v>1.1220000000000001</v>
      </c>
      <c r="AM108" s="35">
        <f>((0.16*(200+K108*10+L108)/(2+K108/10))-0.16*(200+K108*10+L108)/(6+L108/10))/10</f>
        <v>1.1220000000000001</v>
      </c>
      <c r="AN108" s="7">
        <f>IF(AL108="",0,IF(ABS(VALUE(AL108)-AM108)&lt;=0.05,1,-1))</f>
        <v>1</v>
      </c>
      <c r="AO108" s="34" t="s">
        <v>608</v>
      </c>
      <c r="AP108" s="35">
        <f>((0.16*(200+K108*10+L108)/(2+K108/10))-0.16*(200+K108*10+L108)/(6+L108/10))/(10+J108)</f>
        <v>0.59052631578947368</v>
      </c>
      <c r="AQ108" s="7">
        <f>IF(AO108="",0,IF(EXACT(RIGHT(AO108,2),"m2"),IF(ABS(VALUE(LEFT(AO108,FIND(" ",AO108,1)))-AP108)&lt;=0.05,1,-1),-1))</f>
        <v>1</v>
      </c>
      <c r="AR108" s="47">
        <f>M108+P108+S108+V108+Y108+AB108+AE108+AH108+AK108+AN108+AQ108</f>
        <v>6</v>
      </c>
    </row>
    <row r="109" spans="1:44" ht="12.75" x14ac:dyDescent="0.2">
      <c r="A109" s="32">
        <v>107</v>
      </c>
      <c r="B109" s="33">
        <v>41950.770040115742</v>
      </c>
      <c r="C109" s="34" t="s">
        <v>641</v>
      </c>
      <c r="D109" s="34" t="s">
        <v>642</v>
      </c>
      <c r="E109" s="17">
        <v>250972</v>
      </c>
      <c r="F109" s="6">
        <v>1</v>
      </c>
      <c r="G109" s="6">
        <f>INT(E109/100000)</f>
        <v>2</v>
      </c>
      <c r="H109" s="6">
        <f>INT(($E109-100000*G109)/10000)</f>
        <v>5</v>
      </c>
      <c r="I109" s="6">
        <f>INT(($E109-100000*G109-10000*H109)/1000)</f>
        <v>0</v>
      </c>
      <c r="J109" s="6">
        <f>INT(($E109-100000*$G109-10000*$H109-1000*$I109)/100)</f>
        <v>9</v>
      </c>
      <c r="K109" s="6">
        <f>INT(($E109-100000*$G109-10000*$H109-1000*$I109-100*$J109)/10)</f>
        <v>7</v>
      </c>
      <c r="L109" s="6">
        <f>INT(($E109-100000*$G109-10000*$H109-1000*$I109-100*$J109-10*$K109))</f>
        <v>2</v>
      </c>
      <c r="M109" s="7">
        <v>2</v>
      </c>
      <c r="N109" s="34">
        <v>2.4</v>
      </c>
      <c r="O109" s="76">
        <f>10*LOG10((10^((100+10*LOG10(1/(4*PI()*(3+J109/2)^2)))/10)+10^((100-3+10*LOG10(1/(4*PI()*(3+J109/2)^2)))/10))/10^((100+10*LOG10(4*(1+L109/10)/(0.16*(2000+K109*100))))/10))</f>
        <v>-7.1865501892968524</v>
      </c>
      <c r="P109" s="7">
        <f>IF(N109="",0,IF(EXACT(RIGHT(N109,2),"dB"),IF(ABS(VALUE(LEFT(N109,FIND(" ",N109,1)))-O109)&lt;=0.5,1,-1),-1))</f>
        <v>-1</v>
      </c>
      <c r="Q109" s="18"/>
      <c r="R109" s="35">
        <f>(10^((100-3+10*LOG10(1/(4*PI()*(3+J109/2)^2)))/10)*COS((90-(30+L109*6))/180*PI()))/(10^((100+10*LOG10(1/(4*PI()*(3+J109/2)^2)))/10)+10^((100-3+10*LOG10(1/(4*PI()*(3+J109/2)^2)))/10))</f>
        <v>0.22339632926801301</v>
      </c>
      <c r="S109" s="7">
        <f>IF(Q109="",0,IF(ABS(VALUE(Q109)-R109)&lt;=0.05,1,-1))</f>
        <v>0</v>
      </c>
      <c r="T109" s="18"/>
      <c r="U109" s="76">
        <f>10*LOG10(10^((100+10*LOG10(1/(4*PI()*(3+J109/2)^2)))/10)+10^((100-3+10*LOG10(1/(4*PI()*(3+J109/2)^2)))/10)+10^((100+10*LOG10(4*(1+L109/10)/(0.16*(2000+K109*100))))/10))-100+31</f>
        <v>12.217192404325331</v>
      </c>
      <c r="V109" s="7">
        <f>IF(T109="",0,IF(EXACT(RIGHT(T109,2),"dB"),IF(ABS(VALUE(LEFT(T109,FIND(" ",T109,1)))-U109)&lt;=0.5,1,-1),-1))</f>
        <v>0</v>
      </c>
      <c r="W109" s="58">
        <v>0.54549999999999998</v>
      </c>
      <c r="X109" s="35">
        <f>(0.5+L109/20)/(1+10^(-(5+K109)/10))</f>
        <v>0.56438943413833942</v>
      </c>
      <c r="Y109" s="7">
        <f>IF(W109="",0,IF(ABS(VALUE(W109)-X109)&lt;=0.05,1,-1))</f>
        <v>1</v>
      </c>
      <c r="Z109" s="34" t="s">
        <v>644</v>
      </c>
      <c r="AA109" s="76">
        <f>10*LOG10(1+((100+K109*10+L109)*(0.5+J109/20))/((0.1+J109/100)*(6*(5+L109/2)^2)))</f>
        <v>6.9735852017943953</v>
      </c>
      <c r="AB109" s="7">
        <f>IF(Z109="",0,IF(EXACT(RIGHT(Z109,2),"dB"),IF(ABS(VALUE(LEFT(Z109,FIND(" ",Z109,1)))-AA109)&lt;=0.5,1,-1),-1))</f>
        <v>-1</v>
      </c>
      <c r="AC109" s="34">
        <v>0.46</v>
      </c>
      <c r="AD109" s="35">
        <f>0.3+L109/30+0.1</f>
        <v>0.46666666666666667</v>
      </c>
      <c r="AE109" s="7">
        <f>IF(AC109="",0,IF(ABS(VALUE(AC109)-AD109)&lt;=0.05,1,-1))</f>
        <v>1</v>
      </c>
      <c r="AF109" s="34">
        <v>0.53</v>
      </c>
      <c r="AG109" s="35">
        <f>1-AD109</f>
        <v>0.53333333333333333</v>
      </c>
      <c r="AH109" s="7">
        <f>IF(AF109="",0,IF(ABS(VALUE(AF109)-AG109)&lt;=0.05,1,-1))</f>
        <v>1</v>
      </c>
      <c r="AI109" s="34" t="s">
        <v>643</v>
      </c>
      <c r="AJ109" s="76">
        <f>-10*LOG10(1-(0.3+K109/20))</f>
        <v>4.5593195564972424</v>
      </c>
      <c r="AK109" s="7">
        <f>IF(AI109="",0,IF(EXACT(RIGHT(AI109,2),"dB"),IF(ABS(ABS(VALUE(LEFT(AI109,FIND(" ",AI109,1))))-AJ109)&lt;=0.5,1,-1),-1))</f>
        <v>1</v>
      </c>
      <c r="AL109" s="34">
        <v>0.90990000000000004</v>
      </c>
      <c r="AM109" s="35">
        <f>((0.16*(200+K109*10+L109)/(2+K109/10))-0.16*(200+K109*10+L109)/(6+L109/10))/10</f>
        <v>0.90991636798088393</v>
      </c>
      <c r="AN109" s="7">
        <f>IF(AL109="",0,IF(ABS(VALUE(AL109)-AM109)&lt;=0.05,1,-1))</f>
        <v>1</v>
      </c>
      <c r="AO109" s="34" t="s">
        <v>645</v>
      </c>
      <c r="AP109" s="35">
        <f>((0.16*(200+K109*10+L109)/(2+K109/10))-0.16*(200+K109*10+L109)/(6+L109/10))/(10+J109)</f>
        <v>0.4789033515688863</v>
      </c>
      <c r="AQ109" s="7">
        <f>IF(AO109="",0,IF(EXACT(RIGHT(AO109,2),"m2"),IF(ABS(VALUE(LEFT(AO109,FIND(" ",AO109,1)))-AP109)&lt;=0.05,1,-1),-1))</f>
        <v>1</v>
      </c>
      <c r="AR109" s="47">
        <f>M109+P109+S109+V109+Y109+AB109+AE109+AH109+AK109+AN109+AQ109</f>
        <v>6</v>
      </c>
    </row>
    <row r="110" spans="1:44" ht="12.75" x14ac:dyDescent="0.2">
      <c r="A110" s="32">
        <v>108</v>
      </c>
      <c r="B110" s="33">
        <v>41950.770285243052</v>
      </c>
      <c r="C110" s="34" t="s">
        <v>668</v>
      </c>
      <c r="D110" s="34" t="s">
        <v>669</v>
      </c>
      <c r="E110" s="17">
        <v>243652</v>
      </c>
      <c r="F110" s="6">
        <v>1</v>
      </c>
      <c r="G110" s="6">
        <f>INT(E110/100000)</f>
        <v>2</v>
      </c>
      <c r="H110" s="6">
        <f>INT(($E110-100000*G110)/10000)</f>
        <v>4</v>
      </c>
      <c r="I110" s="6">
        <f>INT(($E110-100000*G110-10000*H110)/1000)</f>
        <v>3</v>
      </c>
      <c r="J110" s="6">
        <f>INT(($E110-100000*$G110-10000*$H110-1000*$I110)/100)</f>
        <v>6</v>
      </c>
      <c r="K110" s="6">
        <f>INT(($E110-100000*$G110-10000*$H110-1000*$I110-100*$J110)/10)</f>
        <v>5</v>
      </c>
      <c r="L110" s="6">
        <f>INT(($E110-100000*$G110-10000*$H110-1000*$I110-100*$J110-10*$K110))</f>
        <v>2</v>
      </c>
      <c r="M110" s="7">
        <v>2</v>
      </c>
      <c r="N110" s="34">
        <v>2.5</v>
      </c>
      <c r="O110" s="76">
        <f>10*LOG10((10^((100+10*LOG10(1/(4*PI()*(3+J110/2)^2)))/10)+10^((100-3+10*LOG10(1/(4*PI()*(3+J110/2)^2)))/10))/10^((100+10*LOG10(4*(1+L110/10)/(0.16*(2000+K110*100))))/10))</f>
        <v>-5.5825874840052325</v>
      </c>
      <c r="P110" s="7">
        <f>IF(N110="",0,IF(EXACT(RIGHT(N110,2),"dB"),IF(ABS(VALUE(LEFT(N110,FIND(" ",N110,1)))-O110)&lt;=0.5,1,-1),-1))</f>
        <v>-1</v>
      </c>
      <c r="Q110" s="18"/>
      <c r="R110" s="35">
        <f>(10^((100-3+10*LOG10(1/(4*PI()*(3+J110/2)^2)))/10)*COS((90-(30+L110*6))/180*PI()))/(10^((100+10*LOG10(1/(4*PI()*(3+J110/2)^2)))/10)+10^((100-3+10*LOG10(1/(4*PI()*(3+J110/2)^2)))/10))</f>
        <v>0.22339632926801328</v>
      </c>
      <c r="S110" s="7">
        <f>IF(Q110="",0,IF(ABS(VALUE(Q110)-R110)&lt;=0.05,1,-1))</f>
        <v>0</v>
      </c>
      <c r="T110" s="18"/>
      <c r="U110" s="76">
        <f>10*LOG10(10^((100+10*LOG10(1/(4*PI()*(3+J110/2)^2)))/10)+10^((100-3+10*LOG10(1/(4*PI()*(3+J110/2)^2)))/10)+10^((100+10*LOG10(4*(1+L110/10)/(0.16*(2000+K110*100))))/10))-100+31</f>
        <v>12.852120546849235</v>
      </c>
      <c r="V110" s="7">
        <f>IF(T110="",0,IF(EXACT(RIGHT(T110,2),"dB"),IF(ABS(VALUE(LEFT(T110,FIND(" ",T110,1)))-U110)&lt;=0.5,1,-1),-1))</f>
        <v>0</v>
      </c>
      <c r="W110" s="58">
        <v>0.54549999999999998</v>
      </c>
      <c r="X110" s="35">
        <f>(0.5+L110/20)/(1+10^(-(5+K110)/10))</f>
        <v>0.54545454545454541</v>
      </c>
      <c r="Y110" s="7">
        <f>IF(W110="",0,IF(ABS(VALUE(W110)-X110)&lt;=0.05,1,-1))</f>
        <v>1</v>
      </c>
      <c r="Z110" s="34" t="s">
        <v>671</v>
      </c>
      <c r="AA110" s="76">
        <f>10*LOG10(1+((100+K110*10+L110)*(0.5+J110/20))/((0.1+J110/100)*(6*(5+L110/2)^2)))</f>
        <v>6.5499606651576094</v>
      </c>
      <c r="AB110" s="7">
        <f>IF(Z110="",0,IF(EXACT(RIGHT(Z110,2),"dB"),IF(ABS(VALUE(LEFT(Z110,FIND(" ",Z110,1)))-AA110)&lt;=0.5,1,-1),-1))</f>
        <v>-1</v>
      </c>
      <c r="AC110" s="34">
        <v>0.46600000000000003</v>
      </c>
      <c r="AD110" s="35">
        <f>0.3+L110/30+0.1</f>
        <v>0.46666666666666667</v>
      </c>
      <c r="AE110" s="7">
        <f>IF(AC110="",0,IF(ABS(VALUE(AC110)-AD110)&lt;=0.05,1,-1))</f>
        <v>1</v>
      </c>
      <c r="AF110" s="34">
        <v>0.53300000000000003</v>
      </c>
      <c r="AG110" s="35">
        <f>1-AD110</f>
        <v>0.53333333333333333</v>
      </c>
      <c r="AH110" s="7">
        <f>IF(AF110="",0,IF(ABS(VALUE(AF110)-AG110)&lt;=0.05,1,-1))</f>
        <v>1</v>
      </c>
      <c r="AI110" s="34" t="s">
        <v>670</v>
      </c>
      <c r="AJ110" s="76">
        <f>-10*LOG10(1-(0.3+K110/20))</f>
        <v>3.467874862246564</v>
      </c>
      <c r="AK110" s="7">
        <f>IF(AI110="",0,IF(EXACT(RIGHT(AI110,2),"dB"),IF(ABS(ABS(VALUE(LEFT(AI110,FIND(" ",AI110,1))))-AJ110)&lt;=0.5,1,-1),-1))</f>
        <v>1</v>
      </c>
      <c r="AL110" s="34">
        <v>0.96240000000000003</v>
      </c>
      <c r="AM110" s="35">
        <f>((0.16*(200+K110*10+L110)/(2+K110/10))-0.16*(200+K110*10+L110)/(6+L110/10))/10</f>
        <v>0.96247741935483866</v>
      </c>
      <c r="AN110" s="7">
        <f>IF(AL110="",0,IF(ABS(VALUE(AL110)-AM110)&lt;=0.05,1,-1))</f>
        <v>1</v>
      </c>
      <c r="AO110" s="34" t="s">
        <v>672</v>
      </c>
      <c r="AP110" s="35">
        <f>((0.16*(200+K110*10+L110)/(2+K110/10))-0.16*(200+K110*10+L110)/(6+L110/10))/(10+J110)</f>
        <v>0.60154838709677416</v>
      </c>
      <c r="AQ110" s="7">
        <f>IF(AO110="",0,IF(EXACT(RIGHT(AO110,2),"m2"),IF(ABS(VALUE(LEFT(AO110,FIND(" ",AO110,1)))-AP110)&lt;=0.05,1,-1),-1))</f>
        <v>1</v>
      </c>
      <c r="AR110" s="47">
        <f>M110+P110+S110+V110+Y110+AB110+AE110+AH110+AK110+AN110+AQ110</f>
        <v>6</v>
      </c>
    </row>
    <row r="111" spans="1:44" ht="12.75" x14ac:dyDescent="0.2">
      <c r="A111" s="32">
        <v>109</v>
      </c>
      <c r="B111" s="33">
        <v>41950.770347395832</v>
      </c>
      <c r="C111" s="34" t="s">
        <v>673</v>
      </c>
      <c r="D111" s="34" t="s">
        <v>674</v>
      </c>
      <c r="E111" s="17">
        <v>239453</v>
      </c>
      <c r="F111" s="6">
        <v>1</v>
      </c>
      <c r="G111" s="6">
        <f>INT(E111/100000)</f>
        <v>2</v>
      </c>
      <c r="H111" s="6">
        <f>INT(($E111-100000*G111)/10000)</f>
        <v>3</v>
      </c>
      <c r="I111" s="6">
        <f>INT(($E111-100000*G111-10000*H111)/1000)</f>
        <v>9</v>
      </c>
      <c r="J111" s="6">
        <f>INT(($E111-100000*$G111-10000*$H111-1000*$I111)/100)</f>
        <v>4</v>
      </c>
      <c r="K111" s="6">
        <f>INT(($E111-100000*$G111-10000*$H111-1000*$I111-100*$J111)/10)</f>
        <v>5</v>
      </c>
      <c r="L111" s="6">
        <f>INT(($E111-100000*$G111-10000*$H111-1000*$I111-100*$J111-10*$K111))</f>
        <v>3</v>
      </c>
      <c r="M111" s="7">
        <v>2</v>
      </c>
      <c r="N111" s="34" t="s">
        <v>675</v>
      </c>
      <c r="O111" s="76">
        <f>10*LOG10((10^((100+10*LOG10(1/(4*PI()*(3+J111/2)^2)))/10)+10^((100-3+10*LOG10(1/(4*PI()*(3+J111/2)^2)))/10))/10^((100+10*LOG10(4*(1+L111/10)/(0.16*(2000+K111*100))))/10))</f>
        <v>-4.3465836256448505</v>
      </c>
      <c r="P111" s="7">
        <f>IF(N111="",0,IF(EXACT(RIGHT(N111,2),"dB"),IF(ABS(VALUE(LEFT(N111,FIND(" ",N111,1)))-O111)&lt;=0.5,1,-1),-1))</f>
        <v>-1</v>
      </c>
      <c r="Q111" s="18"/>
      <c r="R111" s="35">
        <f>(10^((100-3+10*LOG10(1/(4*PI()*(3+J111/2)^2)))/10)*COS((90-(30+L111*6))/180*PI()))/(10^((100+10*LOG10(1/(4*PI()*(3+J111/2)^2)))/10)+10^((100-3+10*LOG10(1/(4*PI()*(3+J111/2)^2)))/10))</f>
        <v>0.24810675905195809</v>
      </c>
      <c r="S111" s="7">
        <f>IF(Q111="",0,IF(ABS(VALUE(Q111)-R111)&lt;=0.05,1,-1))</f>
        <v>0</v>
      </c>
      <c r="T111" s="18"/>
      <c r="U111" s="76">
        <f>10*LOG10(10^((100+10*LOG10(1/(4*PI()*(3+J111/2)^2)))/10)+10^((100-3+10*LOG10(1/(4*PI()*(3+J111/2)^2)))/10)+10^((100+10*LOG10(4*(1+L111/10)/(0.16*(2000+K111*100))))/10))-100+31</f>
        <v>13.498933419734414</v>
      </c>
      <c r="V111" s="7">
        <f>IF(T111="",0,IF(EXACT(RIGHT(T111,2),"dB"),IF(ABS(VALUE(LEFT(T111,FIND(" ",T111,1)))-U111)&lt;=0.5,1,-1),-1))</f>
        <v>0</v>
      </c>
      <c r="W111" s="58">
        <v>0.59089999999999998</v>
      </c>
      <c r="X111" s="35">
        <f>(0.5+L111/20)/(1+10^(-(5+K111)/10))</f>
        <v>0.59090909090909083</v>
      </c>
      <c r="Y111" s="7">
        <f>IF(W111="",0,IF(ABS(VALUE(W111)-X111)&lt;=0.05,1,-1))</f>
        <v>1</v>
      </c>
      <c r="Z111" s="34" t="s">
        <v>677</v>
      </c>
      <c r="AA111" s="76">
        <f>10*LOG10(1+((100+K111*10+L111)*(0.5+J111/20))/((0.1+J111/100)*(6*(5+L111/2)^2)))</f>
        <v>6.0398306966682815</v>
      </c>
      <c r="AB111" s="7">
        <f>IF(Z111="",0,IF(EXACT(RIGHT(Z111,2),"dB"),IF(ABS(VALUE(LEFT(Z111,FIND(" ",Z111,1)))-AA111)&lt;=0.5,1,-1),-1))</f>
        <v>-1</v>
      </c>
      <c r="AC111" s="34">
        <v>0.5</v>
      </c>
      <c r="AD111" s="35">
        <f>0.3+L111/30+0.1</f>
        <v>0.5</v>
      </c>
      <c r="AE111" s="7">
        <f>IF(AC111="",0,IF(ABS(VALUE(AC111)-AD111)&lt;=0.05,1,-1))</f>
        <v>1</v>
      </c>
      <c r="AF111" s="34">
        <v>0.5</v>
      </c>
      <c r="AG111" s="35">
        <f>1-AD111</f>
        <v>0.5</v>
      </c>
      <c r="AH111" s="7">
        <f>IF(AF111="",0,IF(ABS(VALUE(AF111)-AG111)&lt;=0.05,1,-1))</f>
        <v>1</v>
      </c>
      <c r="AI111" s="34" t="s">
        <v>676</v>
      </c>
      <c r="AJ111" s="76">
        <f>-10*LOG10(1-(0.3+K111/20))</f>
        <v>3.467874862246564</v>
      </c>
      <c r="AK111" s="7">
        <f>IF(AI111="",0,IF(EXACT(RIGHT(AI111,2),"dB"),IF(ABS(ABS(VALUE(LEFT(AI111,FIND(" ",AI111,1))))-AJ111)&lt;=0.5,1,-1),-1))</f>
        <v>1</v>
      </c>
      <c r="AL111" s="34">
        <v>0.97660000000000002</v>
      </c>
      <c r="AM111" s="35">
        <f>((0.16*(200+K111*10+L111)/(2+K111/10))-0.16*(200+K111*10+L111)/(6+L111/10))/10</f>
        <v>0.97666031746031723</v>
      </c>
      <c r="AN111" s="7">
        <f>IF(AL111="",0,IF(ABS(VALUE(AL111)-AM111)&lt;=0.05,1,-1))</f>
        <v>1</v>
      </c>
      <c r="AO111" s="34" t="s">
        <v>678</v>
      </c>
      <c r="AP111" s="35">
        <f>((0.16*(200+K111*10+L111)/(2+K111/10))-0.16*(200+K111*10+L111)/(6+L111/10))/(10+J111)</f>
        <v>0.69761451247165518</v>
      </c>
      <c r="AQ111" s="7">
        <f>IF(AO111="",0,IF(EXACT(RIGHT(AO111,2),"m2"),IF(ABS(VALUE(LEFT(AO111,FIND(" ",AO111,1)))-AP111)&lt;=0.05,1,-1),-1))</f>
        <v>1</v>
      </c>
      <c r="AR111" s="47">
        <f>M111+P111+S111+V111+Y111+AB111+AE111+AH111+AK111+AN111+AQ111</f>
        <v>6</v>
      </c>
    </row>
    <row r="112" spans="1:44" ht="12.75" x14ac:dyDescent="0.2">
      <c r="A112" s="32">
        <v>110</v>
      </c>
      <c r="B112" s="33">
        <v>41950.771312557867</v>
      </c>
      <c r="C112" s="34" t="s">
        <v>752</v>
      </c>
      <c r="D112" s="34" t="s">
        <v>753</v>
      </c>
      <c r="E112" s="17">
        <v>239767</v>
      </c>
      <c r="F112" s="6">
        <v>1</v>
      </c>
      <c r="G112" s="6">
        <f>INT(E112/100000)</f>
        <v>2</v>
      </c>
      <c r="H112" s="6">
        <f>INT(($E112-100000*G112)/10000)</f>
        <v>3</v>
      </c>
      <c r="I112" s="6">
        <f>INT(($E112-100000*G112-10000*H112)/1000)</f>
        <v>9</v>
      </c>
      <c r="J112" s="6">
        <f>INT(($E112-100000*$G112-10000*$H112-1000*$I112)/100)</f>
        <v>7</v>
      </c>
      <c r="K112" s="6">
        <f>INT(($E112-100000*$G112-10000*$H112-1000*$I112-100*$J112)/10)</f>
        <v>6</v>
      </c>
      <c r="L112" s="6">
        <f>INT(($E112-100000*$G112-10000*$H112-1000*$I112-100*$J112-10*$K112))</f>
        <v>7</v>
      </c>
      <c r="M112" s="7">
        <v>2</v>
      </c>
      <c r="N112" s="34" t="s">
        <v>754</v>
      </c>
      <c r="O112" s="76">
        <f>10*LOG10((10^((100+10*LOG10(1/(4*PI()*(3+J112/2)^2)))/10)+10^((100-3+10*LOG10(1/(4*PI()*(3+J112/2)^2)))/10))/10^((100+10*LOG10(4*(1+L112/10)/(0.16*(2000+K112*100))))/10))</f>
        <v>-7.6201729695081664</v>
      </c>
      <c r="P112" s="7">
        <f>IF(N112="",0,IF(EXACT(RIGHT(N112,2),"dB"),IF(ABS(VALUE(LEFT(N112,FIND(" ",N112,1)))-O112)&lt;=0.5,1,-1),-1))</f>
        <v>-1</v>
      </c>
      <c r="Q112" s="18"/>
      <c r="R112" s="35">
        <f>(10^((100-3+10*LOG10(1/(4*PI()*(3+J112/2)^2)))/10)*COS((90-(30+L112*6))/180*PI()))/(10^((100+10*LOG10(1/(4*PI()*(3+J112/2)^2)))/10)+10^((100-3+10*LOG10(1/(4*PI()*(3+J112/2)^2)))/10))</f>
        <v>0.31752027578427189</v>
      </c>
      <c r="S112" s="7">
        <f>IF(Q112="",0,IF(ABS(VALUE(Q112)-R112)&lt;=0.05,1,-1))</f>
        <v>0</v>
      </c>
      <c r="T112" s="18"/>
      <c r="U112" s="76">
        <f>10*LOG10(10^((100+10*LOG10(1/(4*PI()*(3+J112/2)^2)))/10)+10^((100-3+10*LOG10(1/(4*PI()*(3+J112/2)^2)))/10)+10^((100+10*LOG10(4*(1+L112/10)/(0.16*(2000+K112*100))))/10))-100+31</f>
        <v>13.827042442109843</v>
      </c>
      <c r="V112" s="7">
        <f>IF(T112="",0,IF(EXACT(RIGHT(T112,2),"dB"),IF(ABS(VALUE(LEFT(T112,FIND(" ",T112,1)))-U112)&lt;=0.5,1,-1),-1))</f>
        <v>0</v>
      </c>
      <c r="W112" s="58">
        <v>0.78749999999999998</v>
      </c>
      <c r="X112" s="35">
        <f>(0.5+L112/20)/(1+10^(-(5+K112)/10))</f>
        <v>0.7874505773000624</v>
      </c>
      <c r="Y112" s="7">
        <f>IF(W112="",0,IF(ABS(VALUE(W112)-X112)&lt;=0.05,1,-1))</f>
        <v>1</v>
      </c>
      <c r="Z112" s="34" t="s">
        <v>756</v>
      </c>
      <c r="AA112" s="76">
        <f>10*LOG10(1+((100+K112*10+L112)*(0.5+J112/20))/((0.1+J112/100)*(6*(5+L112/2)^2)))</f>
        <v>4.6630136974552041</v>
      </c>
      <c r="AB112" s="7">
        <f>IF(Z112="",0,IF(EXACT(RIGHT(Z112,2),"dB"),IF(ABS(VALUE(LEFT(Z112,FIND(" ",Z112,1)))-AA112)&lt;=0.5,1,-1),-1))</f>
        <v>1</v>
      </c>
      <c r="AC112" s="34">
        <v>0.63333333333333297</v>
      </c>
      <c r="AD112" s="35">
        <f>0.3+L112/30+0.1</f>
        <v>0.6333333333333333</v>
      </c>
      <c r="AE112" s="7">
        <f>IF(AC112="",0,IF(ABS(VALUE(AC112)-AD112)&lt;=0.05,1,-1))</f>
        <v>1</v>
      </c>
      <c r="AF112" s="34">
        <v>0.36666666666666697</v>
      </c>
      <c r="AG112" s="35">
        <f>1-AD112</f>
        <v>0.3666666666666667</v>
      </c>
      <c r="AH112" s="7">
        <f>IF(AF112="",0,IF(ABS(VALUE(AF112)-AG112)&lt;=0.05,1,-1))</f>
        <v>1</v>
      </c>
      <c r="AI112" s="34" t="s">
        <v>755</v>
      </c>
      <c r="AJ112" s="76">
        <f>-10*LOG10(1-(0.3+K112/20))</f>
        <v>3.9794000867203758</v>
      </c>
      <c r="AK112" s="7">
        <f>IF(AI112="",0,IF(EXACT(RIGHT(AI112,2),"dB"),IF(ABS(ABS(VALUE(LEFT(AI112,FIND(" ",AI112,1))))-AJ112)&lt;=0.5,1,-1),-1))</f>
        <v>1</v>
      </c>
      <c r="AL112" s="34">
        <v>1.005464983</v>
      </c>
      <c r="AM112" s="35">
        <f>((0.16*(200+K112*10+L112)/(2+K112/10))-0.16*(200+K112*10+L112)/(6+L112/10))/10</f>
        <v>1.0054649827784155</v>
      </c>
      <c r="AN112" s="7">
        <f>IF(AL112="",0,IF(ABS(VALUE(AL112)-AM112)&lt;=0.05,1,-1))</f>
        <v>1</v>
      </c>
      <c r="AO112" s="36" t="s">
        <v>757</v>
      </c>
      <c r="AP112" s="35">
        <f>((0.16*(200+K112*10+L112)/(2+K112/10))-0.16*(200+K112*10+L112)/(6+L112/10))/(10+J112)</f>
        <v>0.59144998986965625</v>
      </c>
      <c r="AQ112" s="7">
        <v>-1</v>
      </c>
      <c r="AR112" s="47">
        <f>M112+P112+S112+V112+Y112+AB112+AE112+AH112+AK112+AN112+AQ112</f>
        <v>6</v>
      </c>
    </row>
    <row r="113" spans="1:44" ht="12.75" x14ac:dyDescent="0.2">
      <c r="A113" s="32">
        <v>111</v>
      </c>
      <c r="B113" s="33">
        <v>41950.771487349535</v>
      </c>
      <c r="C113" s="34" t="s">
        <v>781</v>
      </c>
      <c r="D113" s="34" t="s">
        <v>782</v>
      </c>
      <c r="E113" s="17">
        <v>242686</v>
      </c>
      <c r="F113" s="6">
        <v>1</v>
      </c>
      <c r="G113" s="6">
        <f>INT(E113/100000)</f>
        <v>2</v>
      </c>
      <c r="H113" s="6">
        <f>INT(($E113-100000*G113)/10000)</f>
        <v>4</v>
      </c>
      <c r="I113" s="6">
        <f>INT(($E113-100000*G113-10000*H113)/1000)</f>
        <v>2</v>
      </c>
      <c r="J113" s="6">
        <f>INT(($E113-100000*$G113-10000*$H113-1000*$I113)/100)</f>
        <v>6</v>
      </c>
      <c r="K113" s="6">
        <f>INT(($E113-100000*$G113-10000*$H113-1000*$I113-100*$J113)/10)</f>
        <v>8</v>
      </c>
      <c r="L113" s="6">
        <f>INT(($E113-100000*$G113-10000*$H113-1000*$I113-100*$J113-10*$K113))</f>
        <v>6</v>
      </c>
      <c r="M113" s="7">
        <v>2</v>
      </c>
      <c r="N113" s="34" t="s">
        <v>783</v>
      </c>
      <c r="O113" s="76">
        <f>10*LOG10((10^((100+10*LOG10(1/(4*PI()*(3+J113/2)^2)))/10)+10^((100-3+10*LOG10(1/(4*PI()*(3+J113/2)^2)))/10))/10^((100+10*LOG10(4*(1+L113/10)/(0.16*(2000+K113*100))))/10))</f>
        <v>-6.3397946233864113</v>
      </c>
      <c r="P113" s="7">
        <f>IF(N113="",0,IF(EXACT(RIGHT(N113,2),"dB"),IF(ABS(VALUE(LEFT(N113,FIND(" ",N113,1)))-O113)&lt;=0.5,1,-1),-1))</f>
        <v>-1</v>
      </c>
      <c r="Q113" s="18"/>
      <c r="R113" s="35">
        <f>(10^((100-3+10*LOG10(1/(4*PI()*(3+J113/2)^2)))/10)*COS((90-(30+L113*6))/180*PI()))/(10^((100+10*LOG10(1/(4*PI()*(3+J113/2)^2)))/10)+10^((100-3+10*LOG10(1/(4*PI()*(3+J113/2)^2)))/10))</f>
        <v>0.30499681215803442</v>
      </c>
      <c r="S113" s="7">
        <f>IF(Q113="",0,IF(ABS(VALUE(Q113)-R113)&lt;=0.05,1,-1))</f>
        <v>0</v>
      </c>
      <c r="T113" s="18"/>
      <c r="U113" s="76">
        <f>10*LOG10(10^((100+10*LOG10(1/(4*PI()*(3+J113/2)^2)))/10)+10^((100-3+10*LOG10(1/(4*PI()*(3+J113/2)^2)))/10)+10^((100+10*LOG10(4*(1+L113/10)/(0.16*(2000+K113*100))))/10))-100+31</f>
        <v>13.45613003647037</v>
      </c>
      <c r="V113" s="7">
        <f>IF(T113="",0,IF(EXACT(RIGHT(T113,2),"dB"),IF(ABS(VALUE(LEFT(T113,FIND(" ",T113,1)))-U113)&lt;=0.5,1,-1),-1))</f>
        <v>0</v>
      </c>
      <c r="W113" s="58">
        <v>0.76181862320000004</v>
      </c>
      <c r="X113" s="35">
        <f>(0.5+L113/20)/(1+10^(-(5+K113)/10))</f>
        <v>0.76181862317263693</v>
      </c>
      <c r="Y113" s="7">
        <f>IF(W113="",0,IF(ABS(VALUE(W113)-X113)&lt;=0.05,1,-1))</f>
        <v>1</v>
      </c>
      <c r="Z113" s="34" t="s">
        <v>785</v>
      </c>
      <c r="AA113" s="76">
        <f>10*LOG10(1+((100+K113*10+L113)*(0.5+J113/20))/((0.1+J113/100)*(6*(5+L113/2)^2)))</f>
        <v>5.3426414085623115</v>
      </c>
      <c r="AB113" s="7">
        <f>IF(Z113="",0,IF(EXACT(RIGHT(Z113,2),"dB"),IF(ABS(VALUE(LEFT(Z113,FIND(" ",Z113,1)))-AA113)&lt;=0.5,1,-1),-1))</f>
        <v>-1</v>
      </c>
      <c r="AC113" s="34">
        <v>0.6</v>
      </c>
      <c r="AD113" s="35">
        <f>0.3+L113/30+0.1</f>
        <v>0.6</v>
      </c>
      <c r="AE113" s="7">
        <f>IF(AC113="",0,IF(ABS(VALUE(AC113)-AD113)&lt;=0.05,1,-1))</f>
        <v>1</v>
      </c>
      <c r="AF113" s="34">
        <v>0.4</v>
      </c>
      <c r="AG113" s="35">
        <f>1-AD113</f>
        <v>0.4</v>
      </c>
      <c r="AH113" s="7">
        <f>IF(AF113="",0,IF(ABS(VALUE(AF113)-AG113)&lt;=0.05,1,-1))</f>
        <v>1</v>
      </c>
      <c r="AI113" s="34" t="s">
        <v>784</v>
      </c>
      <c r="AJ113" s="76">
        <f>-10*LOG10(1-(0.3+K113/20))</f>
        <v>5.2287874528033749</v>
      </c>
      <c r="AK113" s="7">
        <f>IF(AI113="",0,IF(EXACT(RIGHT(AI113,2),"dB"),IF(ABS(ABS(VALUE(LEFT(AI113,FIND(" ",AI113,1))))-AJ113)&lt;=0.5,1,-1),-1))</f>
        <v>1</v>
      </c>
      <c r="AL113" s="34">
        <v>0.940952381</v>
      </c>
      <c r="AM113" s="35">
        <f>((0.16*(200+K113*10+L113)/(2+K113/10))-0.16*(200+K113*10+L113)/(6+L113/10))/10</f>
        <v>0.94095238095238076</v>
      </c>
      <c r="AN113" s="7">
        <f>IF(AL113="",0,IF(ABS(VALUE(AL113)-AM113)&lt;=0.05,1,-1))</f>
        <v>1</v>
      </c>
      <c r="AO113" s="34" t="s">
        <v>786</v>
      </c>
      <c r="AP113" s="35">
        <f>((0.16*(200+K113*10+L113)/(2+K113/10))-0.16*(200+K113*10+L113)/(6+L113/10))/(10+J113)</f>
        <v>0.588095238095238</v>
      </c>
      <c r="AQ113" s="7">
        <f>IF(AO113="",0,IF(EXACT(RIGHT(AO113,2),"m2"),IF(ABS(VALUE(LEFT(AO113,FIND(" ",AO113,1)))-AP113)&lt;=0.05,1,-1),-1))</f>
        <v>1</v>
      </c>
      <c r="AR113" s="47">
        <f>M113+P113+S113+V113+Y113+AB113+AE113+AH113+AK113+AN113+AQ113</f>
        <v>6</v>
      </c>
    </row>
    <row r="114" spans="1:44" ht="12.75" x14ac:dyDescent="0.2">
      <c r="A114" s="32">
        <v>112</v>
      </c>
      <c r="B114" s="33">
        <v>41950.769544502313</v>
      </c>
      <c r="C114" s="34" t="s">
        <v>572</v>
      </c>
      <c r="D114" s="34" t="s">
        <v>573</v>
      </c>
      <c r="E114" s="17">
        <v>250308</v>
      </c>
      <c r="F114" s="6">
        <v>1</v>
      </c>
      <c r="G114" s="6">
        <f>INT(E114/100000)</f>
        <v>2</v>
      </c>
      <c r="H114" s="6">
        <f>INT(($E114-100000*G114)/10000)</f>
        <v>5</v>
      </c>
      <c r="I114" s="6">
        <f>INT(($E114-100000*G114-10000*H114)/1000)</f>
        <v>0</v>
      </c>
      <c r="J114" s="6">
        <f>INT(($E114-100000*$G114-10000*$H114-1000*$I114)/100)</f>
        <v>3</v>
      </c>
      <c r="K114" s="6">
        <f>INT(($E114-100000*$G114-10000*$H114-1000*$I114-100*$J114)/10)</f>
        <v>0</v>
      </c>
      <c r="L114" s="6">
        <f>INT(($E114-100000*$G114-10000*$H114-1000*$I114-100*$J114-10*$K114))</f>
        <v>8</v>
      </c>
      <c r="M114" s="7">
        <v>2</v>
      </c>
      <c r="N114" s="18"/>
      <c r="O114" s="76">
        <f>10*LOG10((10^((100+10*LOG10(1/(4*PI()*(3+J114/2)^2)))/10)+10^((100-3+10*LOG10(1/(4*PI()*(3+J114/2)^2)))/10))/10^((100+10*LOG10(4*(1+L114/10)/(0.16*(2000+K114*100))))/10))</f>
        <v>-5.8138254724766174</v>
      </c>
      <c r="P114" s="7">
        <f>IF(N114="",0,IF(EXACT(RIGHT(N114,2),"dB"),IF(ABS(VALUE(LEFT(N114,FIND(" ",N114,1)))-O114)&lt;=0.5,1,-1),-1))</f>
        <v>0</v>
      </c>
      <c r="Q114" s="18"/>
      <c r="R114" s="35">
        <f>(10^((100-3+10*LOG10(1/(4*PI()*(3+J114/2)^2)))/10)*COS((90-(30+L114*6))/180*PI()))/(10^((100+10*LOG10(1/(4*PI()*(3+J114/2)^2)))/10)+10^((100-3+10*LOG10(1/(4*PI()*(3+J114/2)^2)))/10))</f>
        <v>0.32656492082362676</v>
      </c>
      <c r="S114" s="7">
        <f>IF(Q114="",0,IF(ABS(VALUE(Q114)-R114)&lt;=0.05,1,-1))</f>
        <v>0</v>
      </c>
      <c r="T114" s="18"/>
      <c r="U114" s="76">
        <f>10*LOG10(10^((100+10*LOG10(1/(4*PI()*(3+J114/2)^2)))/10)+10^((100-3+10*LOG10(1/(4*PI()*(3+J114/2)^2)))/10)+10^((100+10*LOG10(4*(1+L114/10)/(0.16*(2000+K114*100))))/10))-100+31</f>
        <v>15.533075292717285</v>
      </c>
      <c r="V114" s="7">
        <f>IF(T114="",0,IF(EXACT(RIGHT(T114,2),"dB"),IF(ABS(VALUE(LEFT(T114,FIND(" ",T114,1)))-U114)&lt;=0.5,1,-1),-1))</f>
        <v>0</v>
      </c>
      <c r="W114" s="58">
        <v>0.68376999999999999</v>
      </c>
      <c r="X114" s="35">
        <f>(0.5+L114/20)/(1+10^(-(5+K114)/10))</f>
        <v>0.683772233983162</v>
      </c>
      <c r="Y114" s="7">
        <f>IF(W114="",0,IF(ABS(VALUE(W114)-X114)&lt;=0.05,1,-1))</f>
        <v>1</v>
      </c>
      <c r="Z114" s="34" t="s">
        <v>575</v>
      </c>
      <c r="AA114" s="76">
        <f>10*LOG10(1+((100+K114*10+L114)*(0.5+J114/20))/((0.1+J114/100)*(6*(5+L114/2)^2)))</f>
        <v>3.245110915135041</v>
      </c>
      <c r="AB114" s="7">
        <f>IF(Z114="",0,IF(EXACT(RIGHT(Z114,2),"dB"),IF(ABS(VALUE(LEFT(Z114,FIND(" ",Z114,1)))-AA114)&lt;=0.5,1,-1),-1))</f>
        <v>-1</v>
      </c>
      <c r="AC114" s="34">
        <v>0.66666000000000003</v>
      </c>
      <c r="AD114" s="35">
        <f>0.3+L114/30+0.1</f>
        <v>0.66666666666666663</v>
      </c>
      <c r="AE114" s="7">
        <f>IF(AC114="",0,IF(ABS(VALUE(AC114)-AD114)&lt;=0.05,1,-1))</f>
        <v>1</v>
      </c>
      <c r="AF114" s="34">
        <v>0.33334000000000003</v>
      </c>
      <c r="AG114" s="35">
        <f>1-AD114</f>
        <v>0.33333333333333337</v>
      </c>
      <c r="AH114" s="7">
        <f>IF(AF114="",0,IF(ABS(VALUE(AF114)-AG114)&lt;=0.05,1,-1))</f>
        <v>1</v>
      </c>
      <c r="AI114" s="36" t="s">
        <v>574</v>
      </c>
      <c r="AJ114" s="76">
        <f>-10*LOG10(1-(0.3+K114/20))</f>
        <v>1.5490195998574319</v>
      </c>
      <c r="AK114" s="7">
        <v>-1</v>
      </c>
      <c r="AL114" s="34">
        <v>1.174588</v>
      </c>
      <c r="AM114" s="35">
        <f>((0.16*(200+K114*10+L114)/(2+K114/10))-0.16*(200+K114*10+L114)/(6+L114/10))/10</f>
        <v>1.1745882352941177</v>
      </c>
      <c r="AN114" s="7">
        <f>IF(AL114="",0,IF(ABS(VALUE(AL114)-AM114)&lt;=0.05,1,-1))</f>
        <v>1</v>
      </c>
      <c r="AO114" s="34" t="s">
        <v>576</v>
      </c>
      <c r="AP114" s="35">
        <f>((0.16*(200+K114*10+L114)/(2+K114/10))-0.16*(200+K114*10+L114)/(6+L114/10))/(10+J114)</f>
        <v>0.90352941176470591</v>
      </c>
      <c r="AQ114" s="7">
        <f>IF(AO114="",0,IF(EXACT(RIGHT(AO114,2),"m2"),IF(ABS(VALUE(LEFT(AO114,FIND(" ",AO114,1)))-AP114)&lt;=0.05,1,-1),-1))</f>
        <v>1</v>
      </c>
      <c r="AR114" s="48">
        <f>M114+P114+S114+V114+Y114+AB114+AE114+AH114+AK114+AN114+AQ114</f>
        <v>5</v>
      </c>
    </row>
    <row r="115" spans="1:44" ht="12.75" x14ac:dyDescent="0.2">
      <c r="A115" s="32">
        <v>113</v>
      </c>
      <c r="B115" s="33">
        <v>41950.76024019676</v>
      </c>
      <c r="C115" s="34" t="s">
        <v>63</v>
      </c>
      <c r="D115" s="34" t="s">
        <v>64</v>
      </c>
      <c r="E115" s="17">
        <v>221209</v>
      </c>
      <c r="F115" s="6">
        <v>1</v>
      </c>
      <c r="G115" s="6">
        <f>INT(E115/100000)</f>
        <v>2</v>
      </c>
      <c r="H115" s="6">
        <f>INT(($E115-100000*G115)/10000)</f>
        <v>2</v>
      </c>
      <c r="I115" s="6">
        <f>INT(($E115-100000*G115-10000*H115)/1000)</f>
        <v>1</v>
      </c>
      <c r="J115" s="6">
        <f>INT(($E115-100000*$G115-10000*$H115-1000*$I115)/100)</f>
        <v>2</v>
      </c>
      <c r="K115" s="6">
        <f>INT(($E115-100000*$G115-10000*$H115-1000*$I115-100*$J115)/10)</f>
        <v>0</v>
      </c>
      <c r="L115" s="6">
        <f>INT(($E115-100000*$G115-10000*$H115-1000*$I115-100*$J115-10*$K115))</f>
        <v>9</v>
      </c>
      <c r="M115" s="7">
        <v>2</v>
      </c>
      <c r="N115" s="18"/>
      <c r="O115" s="76">
        <f>10*LOG10((10^((100+10*LOG10(1/(4*PI()*(3+J115/2)^2)))/10)+10^((100-3+10*LOG10(1/(4*PI()*(3+J115/2)^2)))/10))/10^((100+10*LOG10(4*(1+L115/10)/(0.16*(2000+K115*100))))/10))</f>
        <v>-5.0255859820242055</v>
      </c>
      <c r="P115" s="7">
        <f>IF(N115="",0,IF(EXACT(RIGHT(N115,2),"dB"),IF(ABS(VALUE(LEFT(N115,FIND(" ",N115,1)))-O115)&lt;=0.5,1,-1),-1))</f>
        <v>0</v>
      </c>
      <c r="Q115" s="18"/>
      <c r="R115" s="35">
        <f>(10^((100-3+10*LOG10(1/(4*PI()*(3+J115/2)^2)))/10)*COS((90-(30+L115*6))/180*PI()))/(10^((100+10*LOG10(1/(4*PI()*(3+J115/2)^2)))/10)+10^((100-3+10*LOG10(1/(4*PI()*(3+J115/2)^2)))/10))</f>
        <v>0.33203165225233566</v>
      </c>
      <c r="S115" s="7">
        <f>IF(Q115="",0,IF(ABS(VALUE(Q115)-R115)&lt;=0.05,1,-1))</f>
        <v>0</v>
      </c>
      <c r="T115" s="18"/>
      <c r="U115" s="76">
        <f>10*LOG10(10^((100+10*LOG10(1/(4*PI()*(3+J115/2)^2)))/10)+10^((100-3+10*LOG10(1/(4*PI()*(3+J115/2)^2)))/10)+10^((100+10*LOG10(4*(1+L115/10)/(0.16*(2000+K115*100))))/10))-100+31</f>
        <v>15.943813252543237</v>
      </c>
      <c r="V115" s="7">
        <f>IF(T115="",0,IF(EXACT(RIGHT(T115,2),"dB"),IF(ABS(VALUE(LEFT(T115,FIND(" ",T115,1)))-U115)&lt;=0.5,1,-1),-1))</f>
        <v>0</v>
      </c>
      <c r="W115" s="59" t="s">
        <v>65</v>
      </c>
      <c r="X115" s="35">
        <f>(0.5+L115/20)/(1+10^(-(5+K115)/10))</f>
        <v>0.72175958031555987</v>
      </c>
      <c r="Y115" s="7">
        <v>-1</v>
      </c>
      <c r="Z115" s="36" t="s">
        <v>67</v>
      </c>
      <c r="AA115" s="76">
        <f>10*LOG10(1+((100+K115*10+L115)*(0.5+J115/20))/((0.1+J115/100)*(6*(5+L115/2)^2)))</f>
        <v>3.0243126969520411</v>
      </c>
      <c r="AB115" s="7">
        <f>IF(Z115="",0,IF(EXACT(RIGHT(Z115,2),"dB"),IF(ABS(VALUE(LEFT(Z115,FIND(" ",Z115,1)))-AA115)&lt;=0.5,1,-1),-1))</f>
        <v>-1</v>
      </c>
      <c r="AC115" s="34">
        <v>0.7</v>
      </c>
      <c r="AD115" s="35">
        <f>0.3+L115/30+0.1</f>
        <v>0.7</v>
      </c>
      <c r="AE115" s="7">
        <f>IF(AC115="",0,IF(ABS(VALUE(AC115)-AD115)&lt;=0.05,1,-1))</f>
        <v>1</v>
      </c>
      <c r="AF115" s="34">
        <v>0.3</v>
      </c>
      <c r="AG115" s="35">
        <f>1-AD115</f>
        <v>0.30000000000000004</v>
      </c>
      <c r="AH115" s="7">
        <f>IF(AF115="",0,IF(ABS(VALUE(AF115)-AG115)&lt;=0.05,1,-1))</f>
        <v>1</v>
      </c>
      <c r="AI115" s="36" t="s">
        <v>66</v>
      </c>
      <c r="AJ115" s="76">
        <f>-10*LOG10(1-(0.3+K115/20))</f>
        <v>1.5490195998574319</v>
      </c>
      <c r="AK115" s="7">
        <f>IF(AI115="",0,IF(EXACT(RIGHT(AI115,2),"dB"),IF(ABS(ABS(VALUE(LEFT(AI115,FIND(" ",AI115,1))))-AJ115)&lt;=0.5,1,-1),-1))</f>
        <v>1</v>
      </c>
      <c r="AL115" s="34">
        <v>1.1870000000000001</v>
      </c>
      <c r="AM115" s="35">
        <f>((0.16*(200+K115*10+L115)/(2+K115/10))-0.16*(200+K115*10+L115)/(6+L115/10))/10</f>
        <v>1.1873623188405795</v>
      </c>
      <c r="AN115" s="7">
        <f>IF(AL115="",0,IF(ABS(VALUE(AL115)-AM115)&lt;=0.05,1,-1))</f>
        <v>1</v>
      </c>
      <c r="AO115" s="34" t="s">
        <v>68</v>
      </c>
      <c r="AP115" s="35">
        <f>((0.16*(200+K115*10+L115)/(2+K115/10))-0.16*(200+K115*10+L115)/(6+L115/10))/(10+J115)</f>
        <v>0.98946859903381634</v>
      </c>
      <c r="AQ115" s="7">
        <f>IF(AO115="",0,IF(EXACT(RIGHT(AO115,2),"m2"),IF(ABS(VALUE(LEFT(AO115,FIND(" ",AO115,1)))-AP115)&lt;=0.05,1,-1),-1))</f>
        <v>1</v>
      </c>
      <c r="AR115" s="48">
        <f>M115+P115+S115+V115+Y115+AB115+AE115+AH115+AK115+AN115+AQ115</f>
        <v>5</v>
      </c>
    </row>
    <row r="116" spans="1:44" ht="12.75" x14ac:dyDescent="0.2">
      <c r="A116" s="32">
        <v>114</v>
      </c>
      <c r="B116" s="33">
        <v>41950.76087766204</v>
      </c>
      <c r="C116" s="34" t="s">
        <v>74</v>
      </c>
      <c r="D116" s="34" t="s">
        <v>75</v>
      </c>
      <c r="E116" s="17">
        <v>233242</v>
      </c>
      <c r="F116" s="6">
        <v>1</v>
      </c>
      <c r="G116" s="6">
        <f>INT(E116/100000)</f>
        <v>2</v>
      </c>
      <c r="H116" s="6">
        <f>INT(($E116-100000*G116)/10000)</f>
        <v>3</v>
      </c>
      <c r="I116" s="6">
        <f>INT(($E116-100000*G116-10000*H116)/1000)</f>
        <v>3</v>
      </c>
      <c r="J116" s="6">
        <f>INT(($E116-100000*$G116-10000*$H116-1000*$I116)/100)</f>
        <v>2</v>
      </c>
      <c r="K116" s="6">
        <f>INT(($E116-100000*$G116-10000*$H116-1000*$I116-100*$J116)/10)</f>
        <v>4</v>
      </c>
      <c r="L116" s="6">
        <f>INT(($E116-100000*$G116-10000*$H116-1000*$I116-100*$J116-10*$K116))</f>
        <v>2</v>
      </c>
      <c r="M116" s="7">
        <v>2</v>
      </c>
      <c r="N116" s="18"/>
      <c r="O116" s="76">
        <f>10*LOG10((10^((100+10*LOG10(1/(4*PI()*(3+J116/2)^2)))/10)+10^((100-3+10*LOG10(1/(4*PI()*(3+J116/2)^2)))/10))/10^((100+10*LOG10(4*(1+L116/10)/(0.16*(2000+K116*100))))/10))</f>
        <v>-2.2380499724959142</v>
      </c>
      <c r="P116" s="7">
        <f>IF(N116="",0,IF(EXACT(RIGHT(N116,2),"dB"),IF(ABS(VALUE(LEFT(N116,FIND(" ",N116,1)))-O116)&lt;=0.5,1,-1),-1))</f>
        <v>0</v>
      </c>
      <c r="Q116" s="18"/>
      <c r="R116" s="35">
        <f>(10^((100-3+10*LOG10(1/(4*PI()*(3+J116/2)^2)))/10)*COS((90-(30+L116*6))/180*PI()))/(10^((100+10*LOG10(1/(4*PI()*(3+J116/2)^2)))/10)+10^((100-3+10*LOG10(1/(4*PI()*(3+J116/2)^2)))/10))</f>
        <v>0.22339632926801276</v>
      </c>
      <c r="S116" s="7">
        <f>IF(Q116="",0,IF(ABS(VALUE(Q116)-R116)&lt;=0.05,1,-1))</f>
        <v>0</v>
      </c>
      <c r="T116" s="18"/>
      <c r="U116" s="76">
        <f>10*LOG10(10^((100+10*LOG10(1/(4*PI()*(3+J116/2)^2)))/10)+10^((100-3+10*LOG10(1/(4*PI()*(3+J116/2)^2)))/10)+10^((100+10*LOG10(4*(1+L116/10)/(0.16*(2000+K116*100))))/10))-100+31</f>
        <v>14.002974350429525</v>
      </c>
      <c r="V116" s="7">
        <f>IF(T116="",0,IF(EXACT(RIGHT(T116,2),"dB"),IF(ABS(VALUE(LEFT(T116,FIND(" ",T116,1)))-U116)&lt;=0.5,1,-1),-1))</f>
        <v>0</v>
      </c>
      <c r="W116" s="59" t="s">
        <v>76</v>
      </c>
      <c r="X116" s="35">
        <f>(0.5+L116/20)/(1+10^(-(5+K116)/10))</f>
        <v>0.53291053813312983</v>
      </c>
      <c r="Y116" s="7">
        <v>-1</v>
      </c>
      <c r="Z116" s="36" t="s">
        <v>78</v>
      </c>
      <c r="AA116" s="76">
        <f>10*LOG10(1+((100+K116*10+L116)*(0.5+J116/20))/((0.1+J116/100)*(6*(5+L116/2)^2)))</f>
        <v>6.3215723553100336</v>
      </c>
      <c r="AB116" s="7">
        <f>IF(Z116="",0,IF(EXACT(RIGHT(Z116,2),"dB"),IF(ABS(VALUE(LEFT(Z116,FIND(" ",Z116,1)))-AA116)&lt;=0.5,1,-1),-1))</f>
        <v>-1</v>
      </c>
      <c r="AC116" s="34">
        <v>0.46</v>
      </c>
      <c r="AD116" s="35">
        <f>0.3+L116/30+0.1</f>
        <v>0.46666666666666667</v>
      </c>
      <c r="AE116" s="7">
        <f>IF(AC116="",0,IF(ABS(VALUE(AC116)-AD116)&lt;=0.05,1,-1))</f>
        <v>1</v>
      </c>
      <c r="AF116" s="34">
        <v>0.54</v>
      </c>
      <c r="AG116" s="35">
        <f>1-AD116</f>
        <v>0.53333333333333333</v>
      </c>
      <c r="AH116" s="7">
        <f>IF(AF116="",0,IF(ABS(VALUE(AF116)-AG116)&lt;=0.05,1,-1))</f>
        <v>1</v>
      </c>
      <c r="AI116" s="36" t="s">
        <v>77</v>
      </c>
      <c r="AJ116" s="76">
        <f>-10*LOG10(1-(0.3+K116/20))</f>
        <v>3.0102999566398121</v>
      </c>
      <c r="AK116" s="7">
        <f>IF(AI116="",0,IF(EXACT(RIGHT(AI116,2),"dB"),IF(ABS(ABS(VALUE(LEFT(AI116,FIND(" ",AI116,1))))-AJ116)&lt;=0.5,1,-1),-1))</f>
        <v>1</v>
      </c>
      <c r="AL116" s="34">
        <v>0.98880000000000001</v>
      </c>
      <c r="AM116" s="35">
        <f>((0.16*(200+K116*10+L116)/(2+K116/10))-0.16*(200+K116*10+L116)/(6+L116/10))/10</f>
        <v>0.98881720430107511</v>
      </c>
      <c r="AN116" s="7">
        <f>IF(AL116="",0,IF(ABS(VALUE(AL116)-AM116)&lt;=0.05,1,-1))</f>
        <v>1</v>
      </c>
      <c r="AO116" s="34" t="s">
        <v>79</v>
      </c>
      <c r="AP116" s="35">
        <f>((0.16*(200+K116*10+L116)/(2+K116/10))-0.16*(200+K116*10+L116)/(6+L116/10))/(10+J116)</f>
        <v>0.82401433691756265</v>
      </c>
      <c r="AQ116" s="7">
        <f>IF(AO116="",0,IF(EXACT(RIGHT(AO116,2),"m2"),IF(ABS(VALUE(LEFT(AO116,FIND(" ",AO116,1)))-AP116)&lt;=0.05,1,-1),-1))</f>
        <v>1</v>
      </c>
      <c r="AR116" s="48">
        <f>M116+P116+S116+V116+Y116+AB116+AE116+AH116+AK116+AN116+AQ116</f>
        <v>5</v>
      </c>
    </row>
    <row r="117" spans="1:44" ht="12.75" x14ac:dyDescent="0.2">
      <c r="A117" s="32">
        <v>115</v>
      </c>
      <c r="B117" s="33">
        <v>41950.763593738433</v>
      </c>
      <c r="C117" s="34" t="s">
        <v>111</v>
      </c>
      <c r="D117" s="34" t="s">
        <v>112</v>
      </c>
      <c r="E117" s="17">
        <v>236679</v>
      </c>
      <c r="F117" s="6">
        <v>1</v>
      </c>
      <c r="G117" s="6">
        <f>INT(E117/100000)</f>
        <v>2</v>
      </c>
      <c r="H117" s="6">
        <f>INT(($E117-100000*G117)/10000)</f>
        <v>3</v>
      </c>
      <c r="I117" s="6">
        <f>INT(($E117-100000*G117-10000*H117)/1000)</f>
        <v>6</v>
      </c>
      <c r="J117" s="6">
        <f>INT(($E117-100000*$G117-10000*$H117-1000*$I117)/100)</f>
        <v>6</v>
      </c>
      <c r="K117" s="6">
        <f>INT(($E117-100000*$G117-10000*$H117-1000*$I117-100*$J117)/10)</f>
        <v>7</v>
      </c>
      <c r="L117" s="6">
        <f>INT(($E117-100000*$G117-10000*$H117-1000*$I117-100*$J117-10*$K117))</f>
        <v>9</v>
      </c>
      <c r="M117" s="7">
        <v>2</v>
      </c>
      <c r="N117" s="18"/>
      <c r="O117" s="76">
        <f>10*LOG10((10^((100+10*LOG10(1/(4*PI()*(3+J117/2)^2)))/10)+10^((100-3+10*LOG10(1/(4*PI()*(3+J117/2)^2)))/10))/10^((100+10*LOG10(4*(1+L117/10)/(0.16*(2000+K117*100))))/10))</f>
        <v>-7.2440734781877705</v>
      </c>
      <c r="P117" s="7">
        <f>IF(N117="",0,IF(EXACT(RIGHT(N117,2),"dB"),IF(ABS(VALUE(LEFT(N117,FIND(" ",N117,1)))-O117)&lt;=0.5,1,-1),-1))</f>
        <v>0</v>
      </c>
      <c r="Q117" s="18"/>
      <c r="R117" s="35">
        <f>(10^((100-3+10*LOG10(1/(4*PI()*(3+J117/2)^2)))/10)*COS((90-(30+L117*6))/180*PI()))/(10^((100+10*LOG10(1/(4*PI()*(3+J117/2)^2)))/10)+10^((100-3+10*LOG10(1/(4*PI()*(3+J117/2)^2)))/10))</f>
        <v>0.33203165225233644</v>
      </c>
      <c r="S117" s="7">
        <f>IF(Q117="",0,IF(ABS(VALUE(Q117)-R117)&lt;=0.05,1,-1))</f>
        <v>0</v>
      </c>
      <c r="T117" s="18"/>
      <c r="U117" s="76">
        <f>10*LOG10(10^((100+10*LOG10(1/(4*PI()*(3+J117/2)^2)))/10)+10^((100-3+10*LOG10(1/(4*PI()*(3+J117/2)^2)))/10)+10^((100+10*LOG10(4*(1+L117/10)/(0.16*(2000+K117*100))))/10))-100+31</f>
        <v>14.203736584176681</v>
      </c>
      <c r="V117" s="7">
        <f>IF(T117="",0,IF(EXACT(RIGHT(T117,2),"dB"),IF(ABS(VALUE(LEFT(T117,FIND(" ",T117,1)))-U117)&lt;=0.5,1,-1),-1))</f>
        <v>0</v>
      </c>
      <c r="W117" s="59" t="s">
        <v>113</v>
      </c>
      <c r="X117" s="35">
        <f>(0.5+L117/20)/(1+10^(-(5+K117)/10))</f>
        <v>0.89361660405237064</v>
      </c>
      <c r="Y117" s="7">
        <v>-1</v>
      </c>
      <c r="Z117" s="34" t="s">
        <v>115</v>
      </c>
      <c r="AA117" s="76">
        <f>10*LOG10(1+((100+K117*10+L117)*(0.5+J117/20))/((0.1+J117/100)*(6*(5+L117/2)^2)))</f>
        <v>4.2370716936662713</v>
      </c>
      <c r="AB117" s="7">
        <f>IF(Z117="",0,IF(EXACT(RIGHT(Z117,2),"dB"),IF(ABS(VALUE(LEFT(Z117,FIND(" ",Z117,1)))-AA117)&lt;=0.5,1,-1),-1))</f>
        <v>-1</v>
      </c>
      <c r="AC117" s="34">
        <v>0.7</v>
      </c>
      <c r="AD117" s="35">
        <f>0.3+L117/30+0.1</f>
        <v>0.7</v>
      </c>
      <c r="AE117" s="7">
        <f>IF(AC117="",0,IF(ABS(VALUE(AC117)-AD117)&lt;=0.05,1,-1))</f>
        <v>1</v>
      </c>
      <c r="AF117" s="34">
        <v>0.3</v>
      </c>
      <c r="AG117" s="35">
        <f>1-AD117</f>
        <v>0.30000000000000004</v>
      </c>
      <c r="AH117" s="7">
        <f>IF(AF117="",0,IF(ABS(VALUE(AF117)-AG117)&lt;=0.05,1,-1))</f>
        <v>1</v>
      </c>
      <c r="AI117" s="36" t="s">
        <v>114</v>
      </c>
      <c r="AJ117" s="76">
        <f>-10*LOG10(1-(0.3+K117/20))</f>
        <v>4.5593195564972424</v>
      </c>
      <c r="AK117" s="7">
        <f>IF(AI117="",0,IF(EXACT(RIGHT(AI117,2),"dB"),IF(ABS(ABS(VALUE(LEFT(AI117,FIND(" ",AI117,1))))-AJ117)&lt;=0.5,1,-1),-1))</f>
        <v>1</v>
      </c>
      <c r="AL117" s="34">
        <v>1.006</v>
      </c>
      <c r="AM117" s="35">
        <f>((0.16*(200+K117*10+L117)/(2+K117/10))-0.16*(200+K117*10+L117)/(6+L117/10))/10</f>
        <v>1.0063768115942027</v>
      </c>
      <c r="AN117" s="7">
        <f>IF(AL117="",0,IF(ABS(VALUE(AL117)-AM117)&lt;=0.05,1,-1))</f>
        <v>1</v>
      </c>
      <c r="AO117" s="34" t="s">
        <v>116</v>
      </c>
      <c r="AP117" s="35">
        <f>((0.16*(200+K117*10+L117)/(2+K117/10))-0.16*(200+K117*10+L117)/(6+L117/10))/(10+J117)</f>
        <v>0.6289855072463767</v>
      </c>
      <c r="AQ117" s="7">
        <f>IF(AO117="",0,IF(EXACT(RIGHT(AO117,2),"m2"),IF(ABS(VALUE(LEFT(AO117,FIND(" ",AO117,1)))-AP117)&lt;=0.05,1,-1),-1))</f>
        <v>1</v>
      </c>
      <c r="AR117" s="48">
        <f>M117+P117+S117+V117+Y117+AB117+AE117+AH117+AK117+AN117+AQ117</f>
        <v>5</v>
      </c>
    </row>
    <row r="118" spans="1:44" ht="12.75" x14ac:dyDescent="0.2">
      <c r="A118" s="32">
        <v>116</v>
      </c>
      <c r="B118" s="33">
        <v>41950.765105486113</v>
      </c>
      <c r="C118" s="34" t="s">
        <v>150</v>
      </c>
      <c r="D118" s="34" t="s">
        <v>151</v>
      </c>
      <c r="E118" s="17">
        <v>244421</v>
      </c>
      <c r="F118" s="6">
        <v>1</v>
      </c>
      <c r="G118" s="6">
        <f>INT(E118/100000)</f>
        <v>2</v>
      </c>
      <c r="H118" s="6">
        <f>INT(($E118-100000*G118)/10000)</f>
        <v>4</v>
      </c>
      <c r="I118" s="6">
        <f>INT(($E118-100000*G118-10000*H118)/1000)</f>
        <v>4</v>
      </c>
      <c r="J118" s="6">
        <f>INT(($E118-100000*$G118-10000*$H118-1000*$I118)/100)</f>
        <v>4</v>
      </c>
      <c r="K118" s="6">
        <f>INT(($E118-100000*$G118-10000*$H118-1000*$I118-100*$J118)/10)</f>
        <v>2</v>
      </c>
      <c r="L118" s="6">
        <f>INT(($E118-100000*$G118-10000*$H118-1000*$I118-100*$J118-10*$K118))</f>
        <v>1</v>
      </c>
      <c r="M118" s="7">
        <v>2</v>
      </c>
      <c r="N118" s="18"/>
      <c r="O118" s="76">
        <f>10*LOG10((10^((100+10*LOG10(1/(4*PI()*(3+J118/2)^2)))/10)+10^((100-3+10*LOG10(1/(4*PI()*(3+J118/2)^2)))/10))/10^((100+10*LOG10(4*(1+L118/10)/(0.16*(2000+K118*100))))/10))</f>
        <v>-4.1762502326570345</v>
      </c>
      <c r="P118" s="7">
        <f>IF(N118="",0,IF(EXACT(RIGHT(N118,2),"dB"),IF(ABS(VALUE(LEFT(N118,FIND(" ",N118,1)))-O118)&lt;=0.5,1,-1),-1))</f>
        <v>0</v>
      </c>
      <c r="Q118" s="18"/>
      <c r="R118" s="35">
        <f>(10^((100-3+10*LOG10(1/(4*PI()*(3+J118/2)^2)))/10)*COS((90-(30+L118*6))/180*PI()))/(10^((100+10*LOG10(1/(4*PI()*(3+J118/2)^2)))/10)+10^((100-3+10*LOG10(1/(4*PI()*(3+J118/2)^2)))/10))</f>
        <v>0.19623832255191975</v>
      </c>
      <c r="S118" s="7">
        <f>IF(Q118="",0,IF(ABS(VALUE(Q118)-R118)&lt;=0.05,1,-1))</f>
        <v>0</v>
      </c>
      <c r="T118" s="18"/>
      <c r="U118" s="76">
        <f>10*LOG10(10^((100+10*LOG10(1/(4*PI()*(3+J118/2)^2)))/10)+10^((100-3+10*LOG10(1/(4*PI()*(3+J118/2)^2)))/10)+10^((100+10*LOG10(4*(1+L118/10)/(0.16*(2000+K118*100))))/10))-100+31</f>
        <v>13.375042118962142</v>
      </c>
      <c r="V118" s="7">
        <f>IF(T118="",0,IF(EXACT(RIGHT(T118,2),"dB"),IF(ABS(VALUE(LEFT(T118,FIND(" ",T118,1)))-U118)&lt;=0.5,1,-1),-1))</f>
        <v>0</v>
      </c>
      <c r="W118" s="58">
        <v>0.69</v>
      </c>
      <c r="X118" s="35">
        <f>(0.5+L118/20)/(1+10^(-(5+K118)/10))</f>
        <v>0.45851435805089097</v>
      </c>
      <c r="Y118" s="7">
        <f>IF(W118="",0,IF(ABS(VALUE(W118)-X118)&lt;=0.05,1,-1))</f>
        <v>-1</v>
      </c>
      <c r="Z118" s="34" t="s">
        <v>153</v>
      </c>
      <c r="AA118" s="76">
        <f>10*LOG10(1+((100+K118*10+L118)*(0.5+J118/20))/((0.1+J118/100)*(6*(5+L118/2)^2)))</f>
        <v>6.3682209758717425</v>
      </c>
      <c r="AB118" s="7">
        <f>IF(Z118="",0,IF(EXACT(RIGHT(Z118,2),"dB"),IF(ABS(VALUE(LEFT(Z118,FIND(" ",Z118,1)))-AA118)&lt;=0.5,1,-1),-1))</f>
        <v>-1</v>
      </c>
      <c r="AC118" s="34">
        <v>0.433</v>
      </c>
      <c r="AD118" s="35">
        <f>0.3+L118/30+0.1</f>
        <v>0.43333333333333335</v>
      </c>
      <c r="AE118" s="7">
        <f>IF(AC118="",0,IF(ABS(VALUE(AC118)-AD118)&lt;=0.05,1,-1))</f>
        <v>1</v>
      </c>
      <c r="AF118" s="34">
        <v>0.56699999999999995</v>
      </c>
      <c r="AG118" s="35">
        <f>1-AD118</f>
        <v>0.56666666666666665</v>
      </c>
      <c r="AH118" s="7">
        <f>IF(AF118="",0,IF(ABS(VALUE(AF118)-AG118)&lt;=0.05,1,-1))</f>
        <v>1</v>
      </c>
      <c r="AI118" s="34" t="s">
        <v>152</v>
      </c>
      <c r="AJ118" s="76">
        <f>-10*LOG10(1-(0.3+K118/20))</f>
        <v>2.2184874961635641</v>
      </c>
      <c r="AK118" s="7">
        <f>IF(AI118="",0,IF(EXACT(RIGHT(AI118,2),"dB"),IF(ABS(ABS(VALUE(LEFT(AI118,FIND(" ",AI118,1))))-AJ118)&lt;=0.5,1,-1),-1))</f>
        <v>1</v>
      </c>
      <c r="AL118" s="34">
        <v>1.06</v>
      </c>
      <c r="AM118" s="35">
        <f>((0.16*(200+K118*10+L118)/(2+K118/10))-0.16*(200+K118*10+L118)/(6+L118/10))/10</f>
        <v>1.0276005961251862</v>
      </c>
      <c r="AN118" s="7">
        <f>IF(AL118="",0,IF(ABS(VALUE(AL118)-AM118)&lt;=0.05,1,-1))</f>
        <v>1</v>
      </c>
      <c r="AO118" s="34" t="s">
        <v>1024</v>
      </c>
      <c r="AP118" s="35">
        <f>((0.16*(200+K118*10+L118)/(2+K118/10))-0.16*(200+K118*10+L118)/(6+L118/10))/(10+J118)</f>
        <v>0.73400042580370439</v>
      </c>
      <c r="AQ118" s="7">
        <f>IF(AO118="",0,IF(EXACT(RIGHT(AO118,2),"m2"),IF(ABS(VALUE(LEFT(AO118,FIND(" ",AO118,1)))-AP118)&lt;=0.05,1,-1),-1))</f>
        <v>1</v>
      </c>
      <c r="AR118" s="48">
        <f>M118+P118+S118+V118+Y118+AB118+AE118+AH118+AK118+AN118+AQ118</f>
        <v>5</v>
      </c>
    </row>
    <row r="119" spans="1:44" ht="12.75" x14ac:dyDescent="0.2">
      <c r="A119" s="32">
        <v>117</v>
      </c>
      <c r="B119" s="33">
        <v>41950.765175914355</v>
      </c>
      <c r="C119" s="34" t="s">
        <v>154</v>
      </c>
      <c r="D119" s="34" t="s">
        <v>155</v>
      </c>
      <c r="E119" s="17">
        <v>244436</v>
      </c>
      <c r="F119" s="6">
        <v>1</v>
      </c>
      <c r="G119" s="6">
        <f>INT(E119/100000)</f>
        <v>2</v>
      </c>
      <c r="H119" s="6">
        <f>INT(($E119-100000*G119)/10000)</f>
        <v>4</v>
      </c>
      <c r="I119" s="6">
        <f>INT(($E119-100000*G119-10000*H119)/1000)</f>
        <v>4</v>
      </c>
      <c r="J119" s="6">
        <f>INT(($E119-100000*$G119-10000*$H119-1000*$I119)/100)</f>
        <v>4</v>
      </c>
      <c r="K119" s="6">
        <f>INT(($E119-100000*$G119-10000*$H119-1000*$I119-100*$J119)/10)</f>
        <v>3</v>
      </c>
      <c r="L119" s="6">
        <f>INT(($E119-100000*$G119-10000*$H119-1000*$I119-100*$J119-10*$K119))</f>
        <v>6</v>
      </c>
      <c r="M119" s="7">
        <v>2</v>
      </c>
      <c r="N119" s="18"/>
      <c r="O119" s="76">
        <f>10*LOG10((10^((100+10*LOG10(1/(4*PI()*(3+J119/2)^2)))/10)+10^((100-3+10*LOG10(1/(4*PI()*(3+J119/2)^2)))/10))/10^((100+10*LOG10(4*(1+L119/10)/(0.16*(2000+K119*100))))/10))</f>
        <v>-5.6104716556801746</v>
      </c>
      <c r="P119" s="7">
        <f>IF(N119="",0,IF(EXACT(RIGHT(N119,2),"dB"),IF(ABS(VALUE(LEFT(N119,FIND(" ",N119,1)))-O119)&lt;=0.5,1,-1),-1))</f>
        <v>0</v>
      </c>
      <c r="Q119" s="18"/>
      <c r="R119" s="35">
        <f>(10^((100-3+10*LOG10(1/(4*PI()*(3+J119/2)^2)))/10)*COS((90-(30+L119*6))/180*PI()))/(10^((100+10*LOG10(1/(4*PI()*(3+J119/2)^2)))/10)+10^((100-3+10*LOG10(1/(4*PI()*(3+J119/2)^2)))/10))</f>
        <v>0.3049968121580337</v>
      </c>
      <c r="S119" s="7">
        <f>IF(Q119="",0,IF(ABS(VALUE(Q119)-R119)&lt;=0.05,1,-1))</f>
        <v>0</v>
      </c>
      <c r="T119" s="18"/>
      <c r="U119" s="76">
        <f>10*LOG10(10^((100+10*LOG10(1/(4*PI()*(3+J119/2)^2)))/10)+10^((100-3+10*LOG10(1/(4*PI()*(3+J119/2)^2)))/10)+10^((100+10*LOG10(4*(1+L119/10)/(0.16*(2000+K119*100))))/10))-100+31</f>
        <v>14.45760437719656</v>
      </c>
      <c r="V119" s="7">
        <f>IF(T119="",0,IF(EXACT(RIGHT(T119,2),"dB"),IF(ABS(VALUE(LEFT(T119,FIND(" ",T119,1)))-U119)&lt;=0.5,1,-1),-1))</f>
        <v>0</v>
      </c>
      <c r="W119" s="58">
        <v>0.4</v>
      </c>
      <c r="X119" s="35">
        <f>(0.5+L119/20)/(1+10^(-(5+K119)/10))</f>
        <v>0.69055448911743211</v>
      </c>
      <c r="Y119" s="7">
        <f>IF(W119="",0,IF(ABS(VALUE(W119)-X119)&lt;=0.05,1,-1))</f>
        <v>-1</v>
      </c>
      <c r="Z119" s="34" t="s">
        <v>157</v>
      </c>
      <c r="AA119" s="76">
        <f>10*LOG10(1+((100+K119*10+L119)*(0.5+J119/20))/((0.1+J119/100)*(6*(5+L119/2)^2)))</f>
        <v>4.4261040359149852</v>
      </c>
      <c r="AB119" s="7">
        <f>IF(Z119="",0,IF(EXACT(RIGHT(Z119,2),"dB"),IF(ABS(VALUE(LEFT(Z119,FIND(" ",Z119,1)))-AA119)&lt;=0.5,1,-1),-1))</f>
        <v>-1</v>
      </c>
      <c r="AC119" s="34">
        <v>0.6</v>
      </c>
      <c r="AD119" s="35">
        <f>0.3+L119/30+0.1</f>
        <v>0.6</v>
      </c>
      <c r="AE119" s="7">
        <f>IF(AC119="",0,IF(ABS(VALUE(AC119)-AD119)&lt;=0.05,1,-1))</f>
        <v>1</v>
      </c>
      <c r="AF119" s="34">
        <v>0.4</v>
      </c>
      <c r="AG119" s="35">
        <f>1-AD119</f>
        <v>0.4</v>
      </c>
      <c r="AH119" s="7">
        <f>IF(AF119="",0,IF(ABS(VALUE(AF119)-AG119)&lt;=0.05,1,-1))</f>
        <v>1</v>
      </c>
      <c r="AI119" s="34" t="s">
        <v>156</v>
      </c>
      <c r="AJ119" s="76">
        <f>-10*LOG10(1-(0.3+K119/20))</f>
        <v>2.5963731050575611</v>
      </c>
      <c r="AK119" s="7">
        <f>IF(AI119="",0,IF(EXACT(RIGHT(AI119,2),"dB"),IF(ABS(ABS(VALUE(LEFT(AI119,FIND(" ",AI119,1))))-AJ119)&lt;=0.5,1,-1),-1))</f>
        <v>1</v>
      </c>
      <c r="AL119" s="34">
        <v>1.02</v>
      </c>
      <c r="AM119" s="35">
        <f>((0.16*(200+K119*10+L119)/(2+K119/10))-0.16*(200+K119*10+L119)/(6+L119/10))/10</f>
        <v>1.0696179183135706</v>
      </c>
      <c r="AN119" s="7">
        <f>IF(AL119="",0,IF(ABS(VALUE(AL119)-AM119)&lt;=0.05,1,-1))</f>
        <v>1</v>
      </c>
      <c r="AO119" s="34" t="s">
        <v>158</v>
      </c>
      <c r="AP119" s="35">
        <f>((0.16*(200+K119*10+L119)/(2+K119/10))-0.16*(200+K119*10+L119)/(6+L119/10))/(10+J119)</f>
        <v>0.76401279879540751</v>
      </c>
      <c r="AQ119" s="7">
        <f>IF(AO119="",0,IF(EXACT(RIGHT(AO119,2),"m2"),IF(ABS(VALUE(LEFT(AO119,FIND(" ",AO119,1)))-AP119)&lt;=0.05,1,-1),-1))</f>
        <v>1</v>
      </c>
      <c r="AR119" s="48">
        <f>M119+P119+S119+V119+Y119+AB119+AE119+AH119+AK119+AN119+AQ119</f>
        <v>5</v>
      </c>
    </row>
    <row r="120" spans="1:44" ht="12.75" x14ac:dyDescent="0.2">
      <c r="A120" s="32">
        <v>118</v>
      </c>
      <c r="B120" s="33">
        <v>41950.766005844904</v>
      </c>
      <c r="C120" s="34" t="s">
        <v>193</v>
      </c>
      <c r="D120" s="34" t="s">
        <v>194</v>
      </c>
      <c r="E120" s="17">
        <v>233003</v>
      </c>
      <c r="F120" s="6">
        <v>1</v>
      </c>
      <c r="G120" s="6">
        <f>INT(E120/100000)</f>
        <v>2</v>
      </c>
      <c r="H120" s="6">
        <f>INT(($E120-100000*G120)/10000)</f>
        <v>3</v>
      </c>
      <c r="I120" s="6">
        <f>INT(($E120-100000*G120-10000*H120)/1000)</f>
        <v>3</v>
      </c>
      <c r="J120" s="6">
        <f>INT(($E120-100000*$G120-10000*$H120-1000*$I120)/100)</f>
        <v>0</v>
      </c>
      <c r="K120" s="6">
        <f>INT(($E120-100000*$G120-10000*$H120-1000*$I120-100*$J120)/10)</f>
        <v>0</v>
      </c>
      <c r="L120" s="6">
        <f>INT(($E120-100000*$G120-10000*$H120-1000*$I120-100*$J120-10*$K120))</f>
        <v>3</v>
      </c>
      <c r="M120" s="7">
        <v>2</v>
      </c>
      <c r="N120" s="18"/>
      <c r="O120" s="76">
        <f>10*LOG10((10^((100+10*LOG10(1/(4*PI()*(3+J120/2)^2)))/10)+10^((100-3+10*LOG10(1/(4*PI()*(3+J120/2)^2)))/10))/10^((100+10*LOG10(4*(1+L120/10)/(0.16*(2000+K120*100))))/10))</f>
        <v>-0.8787087633982944</v>
      </c>
      <c r="P120" s="7">
        <f>IF(N120="",0,IF(EXACT(RIGHT(N120,2),"dB"),IF(ABS(VALUE(LEFT(N120,FIND(" ",N120,1)))-O120)&lt;=0.5,1,-1),-1))</f>
        <v>0</v>
      </c>
      <c r="Q120" s="18"/>
      <c r="R120" s="35">
        <f>(10^((100-3+10*LOG10(1/(4*PI()*(3+J120/2)^2)))/10)*COS((90-(30+L120*6))/180*PI()))/(10^((100+10*LOG10(1/(4*PI()*(3+J120/2)^2)))/10)+10^((100-3+10*LOG10(1/(4*PI()*(3+J120/2)^2)))/10))</f>
        <v>0.24810675905195864</v>
      </c>
      <c r="S120" s="7">
        <f>IF(Q120="",0,IF(ABS(VALUE(Q120)-R120)&lt;=0.05,1,-1))</f>
        <v>0</v>
      </c>
      <c r="T120" s="18"/>
      <c r="U120" s="76">
        <f>10*LOG10(10^((100+10*LOG10(1/(4*PI()*(3+J120/2)^2)))/10)+10^((100-3+10*LOG10(1/(4*PI()*(3+J120/2)^2)))/10)+10^((100+10*LOG10(4*(1+L120/10)/(0.16*(2000+K120*100))))/10))-100+31</f>
        <v>15.701665085360872</v>
      </c>
      <c r="V120" s="7">
        <f>IF(T120="",0,IF(EXACT(RIGHT(T120,2),"dB"),IF(ABS(VALUE(LEFT(T120,FIND(" ",T120,1)))-U120)&lt;=0.5,1,-1),-1))</f>
        <v>0</v>
      </c>
      <c r="W120" s="58">
        <v>0.49380000000000002</v>
      </c>
      <c r="X120" s="35">
        <f>(0.5+L120/20)/(1+10^(-(5+K120)/10))</f>
        <v>0.49383550232117257</v>
      </c>
      <c r="Y120" s="7">
        <f>IF(W120="",0,IF(ABS(VALUE(W120)-X120)&lt;=0.05,1,-1))</f>
        <v>1</v>
      </c>
      <c r="Z120" s="34" t="s">
        <v>196</v>
      </c>
      <c r="AA120" s="76">
        <f>10*LOG10(1+((100+K120*10+L120)*(0.5+J120/20))/((0.1+J120/100)*(6*(5+L120/2)^2)))</f>
        <v>4.8166590816640911</v>
      </c>
      <c r="AB120" s="7">
        <f>IF(Z120="",0,IF(EXACT(RIGHT(Z120,2),"dB"),IF(ABS(VALUE(LEFT(Z120,FIND(" ",Z120,1)))-AA120)&lt;=0.5,1,-1),-1))</f>
        <v>-1</v>
      </c>
      <c r="AC120" s="34">
        <v>0.5</v>
      </c>
      <c r="AD120" s="35">
        <f>0.3+L120/30+0.1</f>
        <v>0.5</v>
      </c>
      <c r="AE120" s="7">
        <f>IF(AC120="",0,IF(ABS(VALUE(AC120)-AD120)&lt;=0.05,1,-1))</f>
        <v>1</v>
      </c>
      <c r="AF120" s="34">
        <v>0.5</v>
      </c>
      <c r="AG120" s="35">
        <f>1-AD120</f>
        <v>0.5</v>
      </c>
      <c r="AH120" s="7">
        <f>IF(AF120="",0,IF(ABS(VALUE(AF120)-AG120)&lt;=0.05,1,-1))</f>
        <v>1</v>
      </c>
      <c r="AI120" s="34" t="s">
        <v>195</v>
      </c>
      <c r="AJ120" s="76">
        <f>-10*LOG10(1-(0.3+K120/20))</f>
        <v>1.5490195998574319</v>
      </c>
      <c r="AK120" s="7">
        <f>IF(AI120="",0,IF(EXACT(RIGHT(AI120,2),"dB"),IF(ABS(ABS(VALUE(LEFT(AI120,FIND(" ",AI120,1))))-AJ120)&lt;=0.5,1,-1),-1))</f>
        <v>1</v>
      </c>
      <c r="AL120" s="37">
        <v>1108</v>
      </c>
      <c r="AM120" s="35">
        <f>((0.16*(200+K120*10+L120)/(2+K120/10))-0.16*(200+K120*10+L120)/(6+L120/10))/10</f>
        <v>1.1084444444444448</v>
      </c>
      <c r="AN120" s="7">
        <f>IF(AL120="",0,IF(ABS(VALUE(AL120)-AM120)&lt;=0.05,1,-1))</f>
        <v>-1</v>
      </c>
      <c r="AO120" s="34" t="s">
        <v>197</v>
      </c>
      <c r="AP120" s="35">
        <f>((0.16*(200+K120*10+L120)/(2+K120/10))-0.16*(200+K120*10+L120)/(6+L120/10))/(10+J120)</f>
        <v>1.1084444444444448</v>
      </c>
      <c r="AQ120" s="7">
        <f>IF(AO120="",0,IF(EXACT(RIGHT(AO120,2),"m2"),IF(ABS(VALUE(LEFT(AO120,FIND(" ",AO120,1)))-AP120)&lt;=0.05,1,-1),-1))</f>
        <v>1</v>
      </c>
      <c r="AR120" s="48">
        <f>M120+P120+S120+V120+Y120+AB120+AE120+AH120+AK120+AN120+AQ120</f>
        <v>5</v>
      </c>
    </row>
    <row r="121" spans="1:44" ht="12.75" x14ac:dyDescent="0.2">
      <c r="A121" s="32">
        <v>119</v>
      </c>
      <c r="B121" s="33">
        <v>41950.766682928239</v>
      </c>
      <c r="C121" s="34" t="s">
        <v>273</v>
      </c>
      <c r="D121" s="34" t="s">
        <v>274</v>
      </c>
      <c r="E121" s="17">
        <v>239175</v>
      </c>
      <c r="F121" s="6">
        <v>1</v>
      </c>
      <c r="G121" s="6">
        <f>INT(E121/100000)</f>
        <v>2</v>
      </c>
      <c r="H121" s="6">
        <f>INT(($E121-100000*G121)/10000)</f>
        <v>3</v>
      </c>
      <c r="I121" s="6">
        <f>INT(($E121-100000*G121-10000*H121)/1000)</f>
        <v>9</v>
      </c>
      <c r="J121" s="6">
        <f>INT(($E121-100000*$G121-10000*$H121-1000*$I121)/100)</f>
        <v>1</v>
      </c>
      <c r="K121" s="6">
        <f>INT(($E121-100000*$G121-10000*$H121-1000*$I121-100*$J121)/10)</f>
        <v>7</v>
      </c>
      <c r="L121" s="6">
        <f>INT(($E121-100000*$G121-10000*$H121-1000*$I121-100*$J121-10*$K121))</f>
        <v>5</v>
      </c>
      <c r="M121" s="7">
        <v>2</v>
      </c>
      <c r="N121" s="18"/>
      <c r="O121" s="76">
        <f>10*LOG10((10^((100+10*LOG10(1/(4*PI()*(3+J121/2)^2)))/10)+10^((100-3+10*LOG10(1/(4*PI()*(3+J121/2)^2)))/10))/10^((100+10*LOG10(4*(1+L121/10)/(0.16*(2000+K121*100))))/10))</f>
        <v>-1.5357859385489225</v>
      </c>
      <c r="P121" s="7">
        <f>IF(N121="",0,IF(EXACT(RIGHT(N121,2),"dB"),IF(ABS(VALUE(LEFT(N121,FIND(" ",N121,1)))-O121)&lt;=0.5,1,-1),-1))</f>
        <v>0</v>
      </c>
      <c r="Q121" s="18"/>
      <c r="R121" s="35">
        <f>(10^((100-3+10*LOG10(1/(4*PI()*(3+J121/2)^2)))/10)*COS((90-(30+L121*6))/180*PI()))/(10^((100+10*LOG10(1/(4*PI()*(3+J121/2)^2)))/10)+10^((100-3+10*LOG10(1/(4*PI()*(3+J121/2)^2)))/10))</f>
        <v>0.28913173963310662</v>
      </c>
      <c r="S121" s="7">
        <f>IF(Q121="",0,IF(ABS(VALUE(Q121)-R121)&lt;=0.05,1,-1))</f>
        <v>0</v>
      </c>
      <c r="T121" s="18"/>
      <c r="U121" s="76">
        <f>10*LOG10(10^((100+10*LOG10(1/(4*PI()*(3+J121/2)^2)))/10)+10^((100-3+10*LOG10(1/(4*PI()*(3+J121/2)^2)))/10)+10^((100+10*LOG10(4*(1+L121/10)/(0.16*(2000+K121*100))))/10))-100+31</f>
        <v>14.736618288665795</v>
      </c>
      <c r="V121" s="7">
        <f>IF(T121="",0,IF(EXACT(RIGHT(T121,2),"dB"),IF(ABS(VALUE(LEFT(T121,FIND(" ",T121,1)))-U121)&lt;=0.5,1,-1),-1))</f>
        <v>0</v>
      </c>
      <c r="W121" s="58">
        <v>0.70499999999999996</v>
      </c>
      <c r="X121" s="35">
        <f>(0.5+L121/20)/(1+10^(-(5+K121)/10))</f>
        <v>0.70548679267292425</v>
      </c>
      <c r="Y121" s="7">
        <f>IF(W121="",0,IF(ABS(VALUE(W121)-X121)&lt;=0.05,1,-1))</f>
        <v>1</v>
      </c>
      <c r="Z121" s="34" t="s">
        <v>276</v>
      </c>
      <c r="AA121" s="76">
        <f>10*LOG10(1+((100+K121*10+L121)*(0.5+J121/20))/((0.1+J121/100)*(6*(5+L121/2)^2)))</f>
        <v>5.5540797010725758</v>
      </c>
      <c r="AB121" s="7">
        <f>IF(Z121="",0,IF(EXACT(RIGHT(Z121,2),"dB"),IF(ABS(VALUE(LEFT(Z121,FIND(" ",Z121,1)))-AA121)&lt;=0.5,1,-1),-1))</f>
        <v>-1</v>
      </c>
      <c r="AC121" s="34">
        <v>0.56666669999999997</v>
      </c>
      <c r="AD121" s="35">
        <f>0.3+L121/30+0.1</f>
        <v>0.56666666666666665</v>
      </c>
      <c r="AE121" s="7">
        <f>IF(AC121="",0,IF(ABS(VALUE(AC121)-AD121)&lt;=0.05,1,-1))</f>
        <v>1</v>
      </c>
      <c r="AF121" s="34">
        <v>0.43333329999999998</v>
      </c>
      <c r="AG121" s="35">
        <f>1-AD121</f>
        <v>0.43333333333333335</v>
      </c>
      <c r="AH121" s="7">
        <f>IF(AF121="",0,IF(ABS(VALUE(AF121)-AG121)&lt;=0.05,1,-1))</f>
        <v>1</v>
      </c>
      <c r="AI121" s="34" t="s">
        <v>275</v>
      </c>
      <c r="AJ121" s="76">
        <f>-10*LOG10(1-(0.3+K121/20))</f>
        <v>4.5593195564972424</v>
      </c>
      <c r="AK121" s="7">
        <f>IF(AI121="",0,IF(EXACT(RIGHT(AI121,2),"dB"),IF(ABS(ABS(VALUE(LEFT(AI121,FIND(" ",AI121,1))))-AJ121)&lt;=0.5,1,-1),-1))</f>
        <v>-1</v>
      </c>
      <c r="AL121" s="34">
        <v>0.95270699999999997</v>
      </c>
      <c r="AM121" s="35">
        <f>((0.16*(200+K121*10+L121)/(2+K121/10))-0.16*(200+K121*10+L121)/(6+L121/10))/10</f>
        <v>0.95270655270655236</v>
      </c>
      <c r="AN121" s="7">
        <f>IF(AL121="",0,IF(ABS(VALUE(AL121)-AM121)&lt;=0.05,1,-1))</f>
        <v>1</v>
      </c>
      <c r="AO121" s="34" t="s">
        <v>277</v>
      </c>
      <c r="AP121" s="35">
        <f>((0.16*(200+K121*10+L121)/(2+K121/10))-0.16*(200+K121*10+L121)/(6+L121/10))/(10+J121)</f>
        <v>0.86609686609686587</v>
      </c>
      <c r="AQ121" s="7">
        <f>IF(AO121="",0,IF(EXACT(RIGHT(AO121,2),"m2"),IF(ABS(VALUE(LEFT(AO121,FIND(" ",AO121,1)))-AP121)&lt;=0.05,1,-1),-1))</f>
        <v>1</v>
      </c>
      <c r="AR121" s="48">
        <f>M121+P121+S121+V121+Y121+AB121+AE121+AH121+AK121+AN121+AQ121</f>
        <v>5</v>
      </c>
    </row>
    <row r="122" spans="1:44" ht="12.75" x14ac:dyDescent="0.2">
      <c r="A122" s="32">
        <v>120</v>
      </c>
      <c r="B122" s="33">
        <v>41950.766700092594</v>
      </c>
      <c r="C122" s="34" t="s">
        <v>278</v>
      </c>
      <c r="D122" s="34" t="s">
        <v>279</v>
      </c>
      <c r="E122" s="17">
        <v>234286</v>
      </c>
      <c r="F122" s="6">
        <v>1</v>
      </c>
      <c r="G122" s="6">
        <f>INT(E122/100000)</f>
        <v>2</v>
      </c>
      <c r="H122" s="6">
        <f>INT(($E122-100000*G122)/10000)</f>
        <v>3</v>
      </c>
      <c r="I122" s="6">
        <f>INT(($E122-100000*G122-10000*H122)/1000)</f>
        <v>4</v>
      </c>
      <c r="J122" s="6">
        <f>INT(($E122-100000*$G122-10000*$H122-1000*$I122)/100)</f>
        <v>2</v>
      </c>
      <c r="K122" s="6">
        <f>INT(($E122-100000*$G122-10000*$H122-1000*$I122-100*$J122)/10)</f>
        <v>8</v>
      </c>
      <c r="L122" s="6">
        <f>INT(($E122-100000*$G122-10000*$H122-1000*$I122-100*$J122-10*$K122))</f>
        <v>6</v>
      </c>
      <c r="M122" s="7">
        <v>2</v>
      </c>
      <c r="N122" s="18"/>
      <c r="O122" s="76">
        <f>10*LOG10((10^((100+10*LOG10(1/(4*PI()*(3+J122/2)^2)))/10)+10^((100-3+10*LOG10(1/(4*PI()*(3+J122/2)^2)))/10))/10^((100+10*LOG10(4*(1+L122/10)/(0.16*(2000+K122*100))))/10))</f>
        <v>-2.8179694422727817</v>
      </c>
      <c r="P122" s="7">
        <f>IF(N122="",0,IF(EXACT(RIGHT(N122,2),"dB"),IF(ABS(VALUE(LEFT(N122,FIND(" ",N122,1)))-O122)&lt;=0.5,1,-1),-1))</f>
        <v>0</v>
      </c>
      <c r="Q122" s="18"/>
      <c r="R122" s="35">
        <f>(10^((100-3+10*LOG10(1/(4*PI()*(3+J122/2)^2)))/10)*COS((90-(30+L122*6))/180*PI()))/(10^((100+10*LOG10(1/(4*PI()*(3+J122/2)^2)))/10)+10^((100-3+10*LOG10(1/(4*PI()*(3+J122/2)^2)))/10))</f>
        <v>0.30499681215803365</v>
      </c>
      <c r="S122" s="7">
        <f>IF(Q122="",0,IF(ABS(VALUE(Q122)-R122)&lt;=0.05,1,-1))</f>
        <v>0</v>
      </c>
      <c r="T122" s="18"/>
      <c r="U122" s="76">
        <f>10*LOG10(10^((100+10*LOG10(1/(4*PI()*(3+J122/2)^2)))/10)+10^((100-3+10*LOG10(1/(4*PI()*(3+J122/2)^2)))/10)+10^((100+10*LOG10(4*(1+L122/10)/(0.16*(2000+K122*100))))/10))-100+31</f>
        <v>14.374993355131707</v>
      </c>
      <c r="V122" s="7">
        <f>IF(T122="",0,IF(EXACT(RIGHT(T122,2),"dB"),IF(ABS(VALUE(LEFT(T122,FIND(" ",T122,1)))-U122)&lt;=0.5,1,-1),-1))</f>
        <v>0</v>
      </c>
      <c r="W122" s="58">
        <v>0.76180000000000003</v>
      </c>
      <c r="X122" s="35">
        <f>(0.5+L122/20)/(1+10^(-(5+K122)/10))</f>
        <v>0.76181862317263693</v>
      </c>
      <c r="Y122" s="7">
        <f>IF(W122="",0,IF(ABS(VALUE(W122)-X122)&lt;=0.05,1,-1))</f>
        <v>1</v>
      </c>
      <c r="Z122" s="34" t="s">
        <v>281</v>
      </c>
      <c r="AA122" s="76">
        <f>10*LOG10(1+((100+K122*10+L122)*(0.5+J122/20))/((0.1+J122/100)*(6*(5+L122/2)^2)))</f>
        <v>5.3426414085623106</v>
      </c>
      <c r="AB122" s="7">
        <f>IF(Z122="",0,IF(EXACT(RIGHT(Z122,2),"dB"),IF(ABS(VALUE(LEFT(Z122,FIND(" ",Z122,1)))-AA122)&lt;=0.5,1,-1),-1))</f>
        <v>-1</v>
      </c>
      <c r="AC122" s="34">
        <v>0.6</v>
      </c>
      <c r="AD122" s="35">
        <f>0.3+L122/30+0.1</f>
        <v>0.6</v>
      </c>
      <c r="AE122" s="7">
        <f>IF(AC122="",0,IF(ABS(VALUE(AC122)-AD122)&lt;=0.05,1,-1))</f>
        <v>1</v>
      </c>
      <c r="AF122" s="34">
        <v>0.4</v>
      </c>
      <c r="AG122" s="35">
        <f>1-AD122</f>
        <v>0.4</v>
      </c>
      <c r="AH122" s="7">
        <f>IF(AF122="",0,IF(ABS(VALUE(AF122)-AG122)&lt;=0.05,1,-1))</f>
        <v>1</v>
      </c>
      <c r="AI122" s="34" t="s">
        <v>280</v>
      </c>
      <c r="AJ122" s="76">
        <f>-10*LOG10(1-(0.3+K122/20))</f>
        <v>5.2287874528033749</v>
      </c>
      <c r="AK122" s="7">
        <f>IF(AI122="",0,IF(EXACT(RIGHT(AI122,2),"dB"),IF(ABS(ABS(VALUE(LEFT(AI122,FIND(" ",AI122,1))))-AJ122)&lt;=0.5,1,-1),-1))</f>
        <v>-1</v>
      </c>
      <c r="AL122" s="34">
        <v>0.94094999999999995</v>
      </c>
      <c r="AM122" s="35">
        <f>((0.16*(200+K122*10+L122)/(2+K122/10))-0.16*(200+K122*10+L122)/(6+L122/10))/10</f>
        <v>0.94095238095238076</v>
      </c>
      <c r="AN122" s="7">
        <f>IF(AL122="",0,IF(ABS(VALUE(AL122)-AM122)&lt;=0.05,1,-1))</f>
        <v>1</v>
      </c>
      <c r="AO122" s="34" t="s">
        <v>282</v>
      </c>
      <c r="AP122" s="35">
        <f>((0.16*(200+K122*10+L122)/(2+K122/10))-0.16*(200+K122*10+L122)/(6+L122/10))/(10+J122)</f>
        <v>0.78412698412698401</v>
      </c>
      <c r="AQ122" s="7">
        <f>IF(AO122="",0,IF(EXACT(RIGHT(AO122,2),"m2"),IF(ABS(VALUE(LEFT(AO122,FIND(" ",AO122,1)))-AP122)&lt;=0.05,1,-1),-1))</f>
        <v>1</v>
      </c>
      <c r="AR122" s="48">
        <f>M122+P122+S122+V122+Y122+AB122+AE122+AH122+AK122+AN122+AQ122</f>
        <v>5</v>
      </c>
    </row>
    <row r="123" spans="1:44" ht="12.75" x14ac:dyDescent="0.2">
      <c r="A123" s="32">
        <v>121</v>
      </c>
      <c r="B123" s="33">
        <v>41950.766789664354</v>
      </c>
      <c r="C123" s="34" t="s">
        <v>288</v>
      </c>
      <c r="D123" s="34" t="s">
        <v>289</v>
      </c>
      <c r="E123" s="17">
        <v>239156</v>
      </c>
      <c r="F123" s="6">
        <v>1</v>
      </c>
      <c r="G123" s="6">
        <f>INT(E123/100000)</f>
        <v>2</v>
      </c>
      <c r="H123" s="6">
        <f>INT(($E123-100000*G123)/10000)</f>
        <v>3</v>
      </c>
      <c r="I123" s="6">
        <f>INT(($E123-100000*G123-10000*H123)/1000)</f>
        <v>9</v>
      </c>
      <c r="J123" s="6">
        <f>INT(($E123-100000*$G123-10000*$H123-1000*$I123)/100)</f>
        <v>1</v>
      </c>
      <c r="K123" s="6">
        <f>INT(($E123-100000*$G123-10000*$H123-1000*$I123-100*$J123)/10)</f>
        <v>5</v>
      </c>
      <c r="L123" s="6">
        <f>INT(($E123-100000*$G123-10000*$H123-1000*$I123-100*$J123-10*$K123))</f>
        <v>6</v>
      </c>
      <c r="M123" s="7">
        <v>2</v>
      </c>
      <c r="N123" s="18"/>
      <c r="O123" s="76">
        <f>10*LOG10((10^((100+10*LOG10(1/(4*PI()*(3+J123/2)^2)))/10)+10^((100-3+10*LOG10(1/(4*PI()*(3+J123/2)^2)))/10))/10^((100+10*LOG10(4*(1+L123/10)/(0.16*(2000+K123*100))))/10))</f>
        <v>-2.1503107294208617</v>
      </c>
      <c r="P123" s="7">
        <f>IF(N123="",0,IF(EXACT(RIGHT(N123,2),"dB"),IF(ABS(VALUE(LEFT(N123,FIND(" ",N123,1)))-O123)&lt;=0.5,1,-1),-1))</f>
        <v>0</v>
      </c>
      <c r="Q123" s="18"/>
      <c r="R123" s="35">
        <f>(10^((100-3+10*LOG10(1/(4*PI()*(3+J123/2)^2)))/10)*COS((90-(30+L123*6))/180*PI()))/(10^((100+10*LOG10(1/(4*PI()*(3+J123/2)^2)))/10)+10^((100-3+10*LOG10(1/(4*PI()*(3+J123/2)^2)))/10))</f>
        <v>0.30499681215803365</v>
      </c>
      <c r="S123" s="7">
        <f>IF(Q123="",0,IF(ABS(VALUE(Q123)-R123)&lt;=0.05,1,-1))</f>
        <v>0</v>
      </c>
      <c r="T123" s="18"/>
      <c r="U123" s="76">
        <f>10*LOG10(10^((100+10*LOG10(1/(4*PI()*(3+J123/2)^2)))/10)+10^((100-3+10*LOG10(1/(4*PI()*(3+J123/2)^2)))/10)+10^((100+10*LOG10(4*(1+L123/10)/(0.16*(2000+K123*100))))/10))-100+31</f>
        <v>15.108091524533037</v>
      </c>
      <c r="V123" s="7">
        <f>IF(T123="",0,IF(EXACT(RIGHT(T123,2),"dB"),IF(ABS(VALUE(LEFT(T123,FIND(" ",T123,1)))-U123)&lt;=0.5,1,-1),-1))</f>
        <v>0</v>
      </c>
      <c r="W123" s="58">
        <v>0.72729999999999995</v>
      </c>
      <c r="X123" s="35">
        <f>(0.5+L123/20)/(1+10^(-(5+K123)/10))</f>
        <v>0.72727272727272729</v>
      </c>
      <c r="Y123" s="7">
        <f>IF(W123="",0,IF(ABS(VALUE(W123)-X123)&lt;=0.05,1,-1))</f>
        <v>1</v>
      </c>
      <c r="Z123" s="34" t="s">
        <v>291</v>
      </c>
      <c r="AA123" s="76">
        <f>10*LOG10(1+((100+K123*10+L123)*(0.5+J123/20))/((0.1+J123/100)*(6*(5+L123/2)^2)))</f>
        <v>4.8162175594633885</v>
      </c>
      <c r="AB123" s="7">
        <f>IF(Z123="",0,IF(EXACT(RIGHT(Z123,2),"dB"),IF(ABS(VALUE(LEFT(Z123,FIND(" ",Z123,1)))-AA123)&lt;=0.5,1,-1),-1))</f>
        <v>1</v>
      </c>
      <c r="AC123" s="34">
        <v>0.5</v>
      </c>
      <c r="AD123" s="35">
        <f>0.3+L123/30+0.1</f>
        <v>0.6</v>
      </c>
      <c r="AE123" s="7">
        <f>IF(AC123="",0,IF(ABS(VALUE(AC123)-AD123)&lt;=0.05,1,-1))</f>
        <v>-1</v>
      </c>
      <c r="AF123" s="34">
        <v>0.5</v>
      </c>
      <c r="AG123" s="35">
        <f>1-AD123</f>
        <v>0.4</v>
      </c>
      <c r="AH123" s="7">
        <f>IF(AF123="",0,IF(ABS(VALUE(AF123)-AG123)&lt;=0.05,1,-1))</f>
        <v>-1</v>
      </c>
      <c r="AI123" s="34" t="s">
        <v>290</v>
      </c>
      <c r="AJ123" s="76">
        <f>-10*LOG10(1-(0.3+K123/20))</f>
        <v>3.467874862246564</v>
      </c>
      <c r="AK123" s="7">
        <f>IF(AI123="",0,IF(EXACT(RIGHT(AI123,2),"dB"),IF(ABS(ABS(VALUE(LEFT(AI123,FIND(" ",AI123,1))))-AJ123)&lt;=0.5,1,-1),-1))</f>
        <v>1</v>
      </c>
      <c r="AL123" s="34">
        <v>1.0178</v>
      </c>
      <c r="AM123" s="35">
        <f>((0.16*(200+K123*10+L123)/(2+K123/10))-0.16*(200+K123*10+L123)/(6+L123/10))/10</f>
        <v>1.0177939393939393</v>
      </c>
      <c r="AN123" s="7">
        <f>IF(AL123="",0,IF(ABS(VALUE(AL123)-AM123)&lt;=0.05,1,-1))</f>
        <v>1</v>
      </c>
      <c r="AO123" s="34" t="s">
        <v>292</v>
      </c>
      <c r="AP123" s="35">
        <f>((0.16*(200+K123*10+L123)/(2+K123/10))-0.16*(200+K123*10+L123)/(6+L123/10))/(10+J123)</f>
        <v>0.92526721763085396</v>
      </c>
      <c r="AQ123" s="7">
        <f>IF(AO123="",0,IF(EXACT(RIGHT(AO123,2),"m2"),IF(ABS(VALUE(LEFT(AO123,FIND(" ",AO123,1)))-AP123)&lt;=0.05,1,-1),-1))</f>
        <v>1</v>
      </c>
      <c r="AR123" s="48">
        <f>M123+P123+S123+V123+Y123+AB123+AE123+AH123+AK123+AN123+AQ123</f>
        <v>5</v>
      </c>
    </row>
    <row r="124" spans="1:44" ht="12.75" x14ac:dyDescent="0.2">
      <c r="A124" s="32">
        <v>122</v>
      </c>
      <c r="B124" s="33">
        <v>41950.767275902777</v>
      </c>
      <c r="C124" s="34" t="s">
        <v>316</v>
      </c>
      <c r="D124" s="34" t="s">
        <v>317</v>
      </c>
      <c r="E124" s="17">
        <v>232730</v>
      </c>
      <c r="F124" s="6">
        <v>1</v>
      </c>
      <c r="G124" s="6">
        <f>INT(E124/100000)</f>
        <v>2</v>
      </c>
      <c r="H124" s="6">
        <f>INT(($E124-100000*G124)/10000)</f>
        <v>3</v>
      </c>
      <c r="I124" s="6">
        <f>INT(($E124-100000*G124-10000*H124)/1000)</f>
        <v>2</v>
      </c>
      <c r="J124" s="6">
        <f>INT(($E124-100000*$G124-10000*$H124-1000*$I124)/100)</f>
        <v>7</v>
      </c>
      <c r="K124" s="6">
        <f>INT(($E124-100000*$G124-10000*$H124-1000*$I124-100*$J124)/10)</f>
        <v>3</v>
      </c>
      <c r="L124" s="6">
        <f>INT(($E124-100000*$G124-10000*$H124-1000*$I124-100*$J124-10*$K124))</f>
        <v>0</v>
      </c>
      <c r="M124" s="7">
        <v>2</v>
      </c>
      <c r="N124" s="38" t="s">
        <v>1018</v>
      </c>
      <c r="O124" s="76">
        <f>10*LOG10((10^((100+10*LOG10(1/(4*PI()*(3+J124/2)^2)))/10)+10^((100-3+10*LOG10(1/(4*PI()*(3+J124/2)^2)))/10))/10^((100+10*LOG10(4*(1+L124/10)/(0.16*(2000+K124*100))))/10))</f>
        <v>-5.8481388752576624</v>
      </c>
      <c r="P124" s="7">
        <f>IF(N124="",0,IF(EXACT(RIGHT(N124,2),"dB"),IF(ABS(VALUE(LEFT(N124,FIND(" ",N124,1)))-O124)&lt;=0.5,1,-1),-1))</f>
        <v>1</v>
      </c>
      <c r="Q124" s="34">
        <v>0.16</v>
      </c>
      <c r="R124" s="35">
        <f>(10^((100-3+10*LOG10(1/(4*PI()*(3+J124/2)^2)))/10)*COS((90-(30+L124*6))/180*PI()))/(10^((100+10*LOG10(1/(4*PI()*(3+J124/2)^2)))/10)+10^((100-3+10*LOG10(1/(4*PI()*(3+J124/2)^2)))/10))</f>
        <v>0.16693028770843932</v>
      </c>
      <c r="S124" s="7">
        <f>IF(Q124="",0,IF(ABS(VALUE(Q124)-R124)&lt;=0.05,1,-1))</f>
        <v>1</v>
      </c>
      <c r="T124" s="18"/>
      <c r="U124" s="76">
        <f>10*LOG10(10^((100+10*LOG10(1/(4*PI()*(3+J124/2)^2)))/10)+10^((100-3+10*LOG10(1/(4*PI()*(3+J124/2)^2)))/10)+10^((100+10*LOG10(4*(1+L124/10)/(0.16*(2000+K124*100))))/10))-100+31</f>
        <v>12.366266300944972</v>
      </c>
      <c r="V124" s="7">
        <f>IF(T124="",0,IF(EXACT(RIGHT(T124,2),"dB"),IF(ABS(VALUE(LEFT(T124,FIND(" ",T124,1)))-U124)&lt;=0.5,1,-1),-1))</f>
        <v>0</v>
      </c>
      <c r="W124" s="59" t="s">
        <v>318</v>
      </c>
      <c r="X124" s="35">
        <f>(0.5+L124/20)/(1+10^(-(5+K124)/10))</f>
        <v>0.43159655569839506</v>
      </c>
      <c r="Y124" s="7">
        <v>-1</v>
      </c>
      <c r="Z124" s="36">
        <v>7.2015000000000002</v>
      </c>
      <c r="AA124" s="76">
        <f>10*LOG10(1+((100+K124*10+L124)*(0.5+J124/20))/((0.1+J124/100)*(6*(5+L124/2)^2)))</f>
        <v>7.2699872793626232</v>
      </c>
      <c r="AB124" s="7">
        <f>IF(Z124="",0,IF(EXACT(RIGHT(Z124,2),"dB"),IF(ABS(VALUE(LEFT(Z124,FIND(" ",Z124,1)))-AA124)&lt;=0.5,1,-1),-1))</f>
        <v>-1</v>
      </c>
      <c r="AC124" s="34">
        <v>0.4</v>
      </c>
      <c r="AD124" s="35">
        <f>0.3+L124/30+0.1</f>
        <v>0.4</v>
      </c>
      <c r="AE124" s="7">
        <f>IF(AC124="",0,IF(ABS(VALUE(AC124)-AD124)&lt;=0.05,1,-1))</f>
        <v>1</v>
      </c>
      <c r="AF124" s="34">
        <v>0.6</v>
      </c>
      <c r="AG124" s="35">
        <f>1-AD124</f>
        <v>0.6</v>
      </c>
      <c r="AH124" s="7">
        <f>IF(AF124="",0,IF(ABS(VALUE(AF124)-AG124)&lt;=0.05,1,-1))</f>
        <v>1</v>
      </c>
      <c r="AI124" s="36" t="s">
        <v>319</v>
      </c>
      <c r="AJ124" s="76">
        <f>-10*LOG10(1-(0.3+K124/20))</f>
        <v>2.5963731050575611</v>
      </c>
      <c r="AK124" s="7">
        <f>IF(AI124="",0,IF(EXACT(RIGHT(AI124,2),"dB"),IF(ABS(ABS(VALUE(LEFT(AI124,FIND(" ",AI124,1))))-AJ124)&lt;=0.5,1,-1),-1))</f>
        <v>-1</v>
      </c>
      <c r="AL124" s="34">
        <v>0.98660000000000003</v>
      </c>
      <c r="AM124" s="35">
        <f>((0.16*(200+K124*10+L124)/(2+K124/10))-0.16*(200+K124*10+L124)/(6+L124/10))/10</f>
        <v>0.98666666666666702</v>
      </c>
      <c r="AN124" s="7">
        <f>IF(AL124="",0,IF(ABS(VALUE(AL124)-AM124)&lt;=0.05,1,-1))</f>
        <v>1</v>
      </c>
      <c r="AO124" s="34" t="s">
        <v>1030</v>
      </c>
      <c r="AP124" s="35">
        <f>((0.16*(200+K124*10+L124)/(2+K124/10))-0.16*(200+K124*10+L124)/(6+L124/10))/(10+J124)</f>
        <v>0.58039215686274537</v>
      </c>
      <c r="AQ124" s="7">
        <f>IF(AO124="",0,IF(EXACT(RIGHT(AO124,2),"m2"),IF(ABS(VALUE(LEFT(AO124,FIND(" ",AO124,1)))-AP124)&lt;=0.05,1,-1),-1))</f>
        <v>1</v>
      </c>
      <c r="AR124" s="48">
        <f>M124+P124+S124+V124+Y124+AB124+AE124+AH124+AK124+AN124+AQ124</f>
        <v>5</v>
      </c>
    </row>
    <row r="125" spans="1:44" ht="12.75" x14ac:dyDescent="0.2">
      <c r="A125" s="32">
        <v>123</v>
      </c>
      <c r="B125" s="33">
        <v>41950.767783773146</v>
      </c>
      <c r="C125" s="34" t="s">
        <v>349</v>
      </c>
      <c r="D125" s="34" t="s">
        <v>350</v>
      </c>
      <c r="E125" s="17">
        <v>232298</v>
      </c>
      <c r="F125" s="6">
        <v>1</v>
      </c>
      <c r="G125" s="6">
        <f>INT(E125/100000)</f>
        <v>2</v>
      </c>
      <c r="H125" s="6">
        <f>INT(($E125-100000*G125)/10000)</f>
        <v>3</v>
      </c>
      <c r="I125" s="6">
        <f>INT(($E125-100000*G125-10000*H125)/1000)</f>
        <v>2</v>
      </c>
      <c r="J125" s="6">
        <f>INT(($E125-100000*$G125-10000*$H125-1000*$I125)/100)</f>
        <v>2</v>
      </c>
      <c r="K125" s="6">
        <f>INT(($E125-100000*$G125-10000*$H125-1000*$I125-100*$J125)/10)</f>
        <v>9</v>
      </c>
      <c r="L125" s="6">
        <f>INT(($E125-100000*$G125-10000*$H125-1000*$I125-100*$J125-10*$K125))</f>
        <v>8</v>
      </c>
      <c r="M125" s="7">
        <v>2</v>
      </c>
      <c r="N125" s="18"/>
      <c r="O125" s="76">
        <f>10*LOG10((10^((100+10*LOG10(1/(4*PI()*(3+J125/2)^2)))/10)+10^((100-3+10*LOG10(1/(4*PI()*(3+J125/2)^2)))/10))/10^((100+10*LOG10(4*(1+L125/10)/(0.16*(2000+K125*100))))/10))</f>
        <v>-3.1770950011792194</v>
      </c>
      <c r="P125" s="7">
        <f>IF(N125="",0,IF(EXACT(RIGHT(N125,2),"dB"),IF(ABS(VALUE(LEFT(N125,FIND(" ",N125,1)))-O125)&lt;=0.5,1,-1),-1))</f>
        <v>0</v>
      </c>
      <c r="Q125" s="18"/>
      <c r="R125" s="35">
        <f>(10^((100-3+10*LOG10(1/(4*PI()*(3+J125/2)^2)))/10)*COS((90-(30+L125*6))/180*PI()))/(10^((100+10*LOG10(1/(4*PI()*(3+J125/2)^2)))/10)+10^((100-3+10*LOG10(1/(4*PI()*(3+J125/2)^2)))/10))</f>
        <v>0.32656492082362681</v>
      </c>
      <c r="S125" s="7">
        <f>IF(Q125="",0,IF(ABS(VALUE(Q125)-R125)&lt;=0.05,1,-1))</f>
        <v>0</v>
      </c>
      <c r="T125" s="18"/>
      <c r="U125" s="76">
        <f>10*LOG10(10^((100+10*LOG10(1/(4*PI()*(3+J125/2)^2)))/10)+10^((100-3+10*LOG10(1/(4*PI()*(3+J125/2)^2)))/10)+10^((100+10*LOG10(4*(1+L125/10)/(0.16*(2000+K125*100))))/10))-100+31</f>
        <v>14.614168104647007</v>
      </c>
      <c r="V125" s="7">
        <f>IF(T125="",0,IF(EXACT(RIGHT(T125,2),"dB"),IF(ABS(VALUE(LEFT(T125,FIND(" ",T125,1)))-U125)&lt;=0.5,1,-1),-1))</f>
        <v>0</v>
      </c>
      <c r="W125" s="58">
        <v>0.86550000000000005</v>
      </c>
      <c r="X125" s="35">
        <f>(0.5+L125/20)/(1+10^(-(5+K125)/10))</f>
        <v>0.86554214650597083</v>
      </c>
      <c r="Y125" s="7">
        <f>IF(W125="",0,IF(ABS(VALUE(W125)-X125)&lt;=0.05,1,-1))</f>
        <v>1</v>
      </c>
      <c r="Z125" s="34" t="s">
        <v>352</v>
      </c>
      <c r="AA125" s="76">
        <f>10*LOG10(1+((100+K125*10+L125)*(0.5+J125/20))/((0.1+J125/100)*(6*(5+L125/2)^2)))</f>
        <v>4.8245008822472935</v>
      </c>
      <c r="AB125" s="7">
        <f>IF(Z125="",0,IF(EXACT(RIGHT(Z125,2),"dB"),IF(ABS(VALUE(LEFT(Z125,FIND(" ",Z125,1)))-AA125)&lt;=0.5,1,-1),-1))</f>
        <v>-1</v>
      </c>
      <c r="AC125" s="34">
        <v>0.66669999999999996</v>
      </c>
      <c r="AD125" s="35">
        <f>0.3+L125/30+0.1</f>
        <v>0.66666666666666663</v>
      </c>
      <c r="AE125" s="7">
        <f>IF(AC125="",0,IF(ABS(VALUE(AC125)-AD125)&lt;=0.05,1,-1))</f>
        <v>1</v>
      </c>
      <c r="AF125" s="34">
        <v>0.33329999999999999</v>
      </c>
      <c r="AG125" s="35">
        <f>1-AD125</f>
        <v>0.33333333333333337</v>
      </c>
      <c r="AH125" s="7">
        <f>IF(AF125="",0,IF(ABS(VALUE(AF125)-AG125)&lt;=0.05,1,-1))</f>
        <v>1</v>
      </c>
      <c r="AI125" s="34" t="s">
        <v>351</v>
      </c>
      <c r="AJ125" s="76">
        <f>-10*LOG10(1-(0.3+K125/20))</f>
        <v>6.0205999132796242</v>
      </c>
      <c r="AK125" s="7">
        <f>IF(AI125="",0,IF(EXACT(RIGHT(AI125,2),"dB"),IF(ABS(ABS(VALUE(LEFT(AI125,FIND(" ",AI125,1))))-AJ125)&lt;=0.5,1,-1),-1))</f>
        <v>1</v>
      </c>
      <c r="AL125" s="34">
        <v>0.94299999999999995</v>
      </c>
      <c r="AM125" s="35">
        <f>((0.16*(200+K125*10+L125)/(2+K125/10))-0.16*(200+K125*10+L125)/(6+L125/10))/10</f>
        <v>0.94296146044624751</v>
      </c>
      <c r="AN125" s="7">
        <f>IF(AL125="",0,IF(ABS(VALUE(AL125)-AM125)&lt;=0.05,1,-1))</f>
        <v>1</v>
      </c>
      <c r="AO125" s="34" t="s">
        <v>353</v>
      </c>
      <c r="AP125" s="35">
        <f>((0.16*(200+K125*10+L125)/(2+K125/10))-0.16*(200+K125*10+L125)/(6+L125/10))/(10+J125)</f>
        <v>0.78580121703853967</v>
      </c>
      <c r="AQ125" s="7">
        <f>IF(AO125="",0,IF(EXACT(RIGHT(AO125,2),"m2"),IF(ABS(VALUE(LEFT(AO125,FIND(" ",AO125,1)))-AP125)&lt;=0.05,1,-1),-1))</f>
        <v>-1</v>
      </c>
      <c r="AR125" s="48">
        <f>M125+P125+S125+V125+Y125+AB125+AE125+AH125+AK125+AN125+AQ125</f>
        <v>5</v>
      </c>
    </row>
    <row r="126" spans="1:44" ht="12.75" x14ac:dyDescent="0.2">
      <c r="A126" s="32">
        <v>124</v>
      </c>
      <c r="B126" s="33">
        <v>41950.767886099537</v>
      </c>
      <c r="C126" s="34" t="s">
        <v>364</v>
      </c>
      <c r="D126" s="34" t="s">
        <v>365</v>
      </c>
      <c r="E126" s="17">
        <v>232688</v>
      </c>
      <c r="F126" s="6">
        <v>1</v>
      </c>
      <c r="G126" s="6">
        <f>INT(E126/100000)</f>
        <v>2</v>
      </c>
      <c r="H126" s="6">
        <f>INT(($E126-100000*G126)/10000)</f>
        <v>3</v>
      </c>
      <c r="I126" s="6">
        <f>INT(($E126-100000*G126-10000*H126)/1000)</f>
        <v>2</v>
      </c>
      <c r="J126" s="6">
        <f>INT(($E126-100000*$G126-10000*$H126-1000*$I126)/100)</f>
        <v>6</v>
      </c>
      <c r="K126" s="6">
        <f>INT(($E126-100000*$G126-10000*$H126-1000*$I126-100*$J126)/10)</f>
        <v>8</v>
      </c>
      <c r="L126" s="6">
        <f>INT(($E126-100000*$G126-10000*$H126-1000*$I126-100*$J126-10*$K126))</f>
        <v>8</v>
      </c>
      <c r="M126" s="7">
        <v>2</v>
      </c>
      <c r="N126" s="18"/>
      <c r="O126" s="76">
        <f>10*LOG10((10^((100+10*LOG10(1/(4*PI()*(3+J126/2)^2)))/10)+10^((100-3+10*LOG10(1/(4*PI()*(3+J126/2)^2)))/10))/10^((100+10*LOG10(4*(1+L126/10)/(0.16*(2000+K126*100))))/10))</f>
        <v>-6.8513198478602257</v>
      </c>
      <c r="P126" s="7">
        <f>IF(N126="",0,IF(EXACT(RIGHT(N126,2),"dB"),IF(ABS(VALUE(LEFT(N126,FIND(" ",N126,1)))-O126)&lt;=0.5,1,-1),-1))</f>
        <v>0</v>
      </c>
      <c r="Q126" s="18"/>
      <c r="R126" s="35">
        <f>(10^((100-3+10*LOG10(1/(4*PI()*(3+J126/2)^2)))/10)*COS((90-(30+L126*6))/180*PI()))/(10^((100+10*LOG10(1/(4*PI()*(3+J126/2)^2)))/10)+10^((100-3+10*LOG10(1/(4*PI()*(3+J126/2)^2)))/10))</f>
        <v>0.32656492082362759</v>
      </c>
      <c r="S126" s="7">
        <f>IF(Q126="",0,IF(ABS(VALUE(Q126)-R126)&lt;=0.05,1,-1))</f>
        <v>0</v>
      </c>
      <c r="T126" s="18"/>
      <c r="U126" s="76">
        <f>10*LOG10(10^((100+10*LOG10(1/(4*PI()*(3+J126/2)^2)))/10)+10^((100-3+10*LOG10(1/(4*PI()*(3+J126/2)^2)))/10)+10^((100+10*LOG10(4*(1+L126/10)/(0.16*(2000+K126*100))))/10))-100+31</f>
        <v>13.875729020164286</v>
      </c>
      <c r="V126" s="7">
        <f>IF(T126="",0,IF(EXACT(RIGHT(T126,2),"dB"),IF(ABS(VALUE(LEFT(T126,FIND(" ",T126,1)))-U126)&lt;=0.5,1,-1),-1))</f>
        <v>0</v>
      </c>
      <c r="W126" s="58">
        <v>1.238</v>
      </c>
      <c r="X126" s="35">
        <f>(0.5+L126/20)/(1+10^(-(5+K126)/10))</f>
        <v>0.85704595106921655</v>
      </c>
      <c r="Y126" s="7">
        <f>IF(W126="",0,IF(ABS(VALUE(W126)-X126)&lt;=0.05,1,-1))</f>
        <v>-1</v>
      </c>
      <c r="Z126" s="34" t="s">
        <v>367</v>
      </c>
      <c r="AA126" s="76">
        <f>10*LOG10(1+((100+K126*10+L126)*(0.5+J126/20))/((0.1+J126/100)*(6*(5+L126/2)^2)))</f>
        <v>4.6748325625355331</v>
      </c>
      <c r="AB126" s="7">
        <f>IF(Z126="",0,IF(EXACT(RIGHT(Z126,2),"dB"),IF(ABS(VALUE(LEFT(Z126,FIND(" ",Z126,1)))-AA126)&lt;=0.5,1,-1),-1))</f>
        <v>-1</v>
      </c>
      <c r="AC126" s="34">
        <v>0.66669999999999996</v>
      </c>
      <c r="AD126" s="35">
        <f>0.3+L126/30+0.1</f>
        <v>0.66666666666666663</v>
      </c>
      <c r="AE126" s="7">
        <f>IF(AC126="",0,IF(ABS(VALUE(AC126)-AD126)&lt;=0.05,1,-1))</f>
        <v>1</v>
      </c>
      <c r="AF126" s="34">
        <v>0.33329999999999999</v>
      </c>
      <c r="AG126" s="35">
        <f>1-AD126</f>
        <v>0.33333333333333337</v>
      </c>
      <c r="AH126" s="7">
        <f>IF(AF126="",0,IF(ABS(VALUE(AF126)-AG126)&lt;=0.05,1,-1))</f>
        <v>1</v>
      </c>
      <c r="AI126" s="34" t="s">
        <v>366</v>
      </c>
      <c r="AJ126" s="76">
        <f>-10*LOG10(1-(0.3+K126/20))</f>
        <v>5.2287874528033749</v>
      </c>
      <c r="AK126" s="7">
        <f>IF(AI126="",0,IF(EXACT(RIGHT(AI126,2),"dB"),IF(ABS(ABS(VALUE(LEFT(AI126,FIND(" ",AI126,1))))-AJ126)&lt;=0.5,1,-1),-1))</f>
        <v>1</v>
      </c>
      <c r="AL126" s="34">
        <v>0.96799999999999997</v>
      </c>
      <c r="AM126" s="35">
        <f>((0.16*(200+K126*10+L126)/(2+K126/10))-0.16*(200+K126*10+L126)/(6+L126/10))/10</f>
        <v>0.96806722689075642</v>
      </c>
      <c r="AN126" s="7">
        <f>IF(AL126="",0,IF(ABS(VALUE(AL126)-AM126)&lt;=0.05,1,-1))</f>
        <v>1</v>
      </c>
      <c r="AO126" s="34" t="s">
        <v>368</v>
      </c>
      <c r="AP126" s="35">
        <f>((0.16*(200+K126*10+L126)/(2+K126/10))-0.16*(200+K126*10+L126)/(6+L126/10))/(10+J126)</f>
        <v>0.60504201680672276</v>
      </c>
      <c r="AQ126" s="7">
        <f>IF(AO126="",0,IF(EXACT(RIGHT(AO126,2),"m2"),IF(ABS(VALUE(LEFT(AO126,FIND(" ",AO126,1)))-AP126)&lt;=0.05,1,-1),-1))</f>
        <v>1</v>
      </c>
      <c r="AR126" s="48">
        <f>M126+P126+S126+V126+Y126+AB126+AE126+AH126+AK126+AN126+AQ126</f>
        <v>5</v>
      </c>
    </row>
    <row r="127" spans="1:44" ht="12.75" x14ac:dyDescent="0.2">
      <c r="A127" s="32">
        <v>125</v>
      </c>
      <c r="B127" s="33">
        <v>41950.768065520831</v>
      </c>
      <c r="C127" s="34" t="s">
        <v>374</v>
      </c>
      <c r="D127" s="34" t="s">
        <v>375</v>
      </c>
      <c r="E127" s="17">
        <v>244163</v>
      </c>
      <c r="F127" s="6">
        <v>1</v>
      </c>
      <c r="G127" s="6">
        <f>INT(E127/100000)</f>
        <v>2</v>
      </c>
      <c r="H127" s="6">
        <f>INT(($E127-100000*G127)/10000)</f>
        <v>4</v>
      </c>
      <c r="I127" s="6">
        <f>INT(($E127-100000*G127-10000*H127)/1000)</f>
        <v>4</v>
      </c>
      <c r="J127" s="6">
        <f>INT(($E127-100000*$G127-10000*$H127-1000*$I127)/100)</f>
        <v>1</v>
      </c>
      <c r="K127" s="6">
        <f>INT(($E127-100000*$G127-10000*$H127-1000*$I127-100*$J127)/10)</f>
        <v>6</v>
      </c>
      <c r="L127" s="6">
        <f>INT(($E127-100000*$G127-10000*$H127-1000*$I127-100*$J127-10*$K127))</f>
        <v>3</v>
      </c>
      <c r="M127" s="7">
        <v>2</v>
      </c>
      <c r="N127" s="18"/>
      <c r="O127" s="76">
        <f>10*LOG10((10^((100+10*LOG10(1/(4*PI()*(3+J127/2)^2)))/10)+10^((100-3+10*LOG10(1/(4*PI()*(3+J127/2)^2)))/10))/10^((100+10*LOG10(4*(1+L127/10)/(0.16*(2000+K127*100))))/10))</f>
        <v>-1.0782110329421777</v>
      </c>
      <c r="P127" s="7">
        <f>IF(N127="",0,IF(EXACT(RIGHT(N127,2),"dB"),IF(ABS(VALUE(LEFT(N127,FIND(" ",N127,1)))-O127)&lt;=0.5,1,-1),-1))</f>
        <v>0</v>
      </c>
      <c r="Q127" s="18"/>
      <c r="R127" s="35">
        <f>(10^((100-3+10*LOG10(1/(4*PI()*(3+J127/2)^2)))/10)*COS((90-(30+L127*6))/180*PI()))/(10^((100+10*LOG10(1/(4*PI()*(3+J127/2)^2)))/10)+10^((100-3+10*LOG10(1/(4*PI()*(3+J127/2)^2)))/10))</f>
        <v>0.24810675905195803</v>
      </c>
      <c r="S127" s="7">
        <f>IF(Q127="",0,IF(ABS(VALUE(Q127)-R127)&lt;=0.05,1,-1))</f>
        <v>0</v>
      </c>
      <c r="T127" s="18"/>
      <c r="U127" s="76">
        <f>10*LOG10(10^((100+10*LOG10(1/(4*PI()*(3+J127/2)^2)))/10)+10^((100-3+10*LOG10(1/(4*PI()*(3+J127/2)^2)))/10)+10^((100+10*LOG10(4*(1+L127/10)/(0.16*(2000+K127*100))))/10))-100+31</f>
        <v>14.473669551577785</v>
      </c>
      <c r="V127" s="7">
        <f>IF(T127="",0,IF(EXACT(RIGHT(T127,2),"dB"),IF(ABS(VALUE(LEFT(T127,FIND(" ",T127,1)))-U127)&lt;=0.5,1,-1),-1))</f>
        <v>0</v>
      </c>
      <c r="W127" s="58">
        <v>0.60199999999999998</v>
      </c>
      <c r="X127" s="35">
        <f>(0.5+L127/20)/(1+10^(-(5+K127)/10))</f>
        <v>0.60216808852357717</v>
      </c>
      <c r="Y127" s="7">
        <f>IF(W127="",0,IF(ABS(VALUE(W127)-X127)&lt;=0.05,1,-1))</f>
        <v>1</v>
      </c>
      <c r="Z127" s="36" t="s">
        <v>377</v>
      </c>
      <c r="AA127" s="76">
        <f>10*LOG10(1+((100+K127*10+L127)*(0.5+J127/20))/((0.1+J127/100)*(6*(5+L127/2)^2)))</f>
        <v>6.2479656283073348</v>
      </c>
      <c r="AB127" s="7">
        <f>IF(Z127="",0,IF(EXACT(RIGHT(Z127,2),"dB"),IF(ABS(VALUE(LEFT(Z127,FIND(" ",Z127,1)))-AA127)&lt;=0.5,1,-1),-1))</f>
        <v>-1</v>
      </c>
      <c r="AC127" s="34">
        <v>0.5</v>
      </c>
      <c r="AD127" s="35">
        <f>0.3+L127/30+0.1</f>
        <v>0.5</v>
      </c>
      <c r="AE127" s="7">
        <f>IF(AC127="",0,IF(ABS(VALUE(AC127)-AD127)&lt;=0.05,1,-1))</f>
        <v>1</v>
      </c>
      <c r="AF127" s="34">
        <v>0.5</v>
      </c>
      <c r="AG127" s="35">
        <f>1-AD127</f>
        <v>0.5</v>
      </c>
      <c r="AH127" s="7">
        <f>IF(AF127="",0,IF(ABS(VALUE(AF127)-AG127)&lt;=0.05,1,-1))</f>
        <v>1</v>
      </c>
      <c r="AI127" s="36" t="s">
        <v>376</v>
      </c>
      <c r="AJ127" s="76">
        <f>-10*LOG10(1-(0.3+K127/20))</f>
        <v>3.9794000867203758</v>
      </c>
      <c r="AK127" s="7">
        <f>IF(AI127="",0,IF(EXACT(RIGHT(AI127,2),"dB"),IF(ABS(ABS(VALUE(LEFT(AI127,FIND(" ",AI127,1))))-AJ127)&lt;=0.5,1,-1),-1))</f>
        <v>-1</v>
      </c>
      <c r="AL127" s="34">
        <v>0.95099999999999996</v>
      </c>
      <c r="AM127" s="35">
        <f>((0.16*(200+K127*10+L127)/(2+K127/10))-0.16*(200+K127*10+L127)/(6+L127/10))/10</f>
        <v>0.95052503052503035</v>
      </c>
      <c r="AN127" s="7">
        <f>IF(AL127="",0,IF(ABS(VALUE(AL127)-AM127)&lt;=0.05,1,-1))</f>
        <v>1</v>
      </c>
      <c r="AO127" s="34" t="s">
        <v>719</v>
      </c>
      <c r="AP127" s="35">
        <f>((0.16*(200+K127*10+L127)/(2+K127/10))-0.16*(200+K127*10+L127)/(6+L127/10))/(10+J127)</f>
        <v>0.86411366411366397</v>
      </c>
      <c r="AQ127" s="7">
        <f>IF(AO127="",0,IF(EXACT(RIGHT(AO127,2),"m2"),IF(ABS(VALUE(LEFT(AO127,FIND(" ",AO127,1)))-AP127)&lt;=0.05,1,-1),-1))</f>
        <v>1</v>
      </c>
      <c r="AR127" s="48">
        <f>M127+P127+S127+V127+Y127+AB127+AE127+AH127+AK127+AN127+AQ127</f>
        <v>5</v>
      </c>
    </row>
    <row r="128" spans="1:44" ht="12.75" x14ac:dyDescent="0.2">
      <c r="A128" s="32">
        <v>126</v>
      </c>
      <c r="B128" s="33">
        <v>41950.768836469906</v>
      </c>
      <c r="C128" s="34" t="s">
        <v>469</v>
      </c>
      <c r="D128" s="34" t="s">
        <v>470</v>
      </c>
      <c r="E128" s="17">
        <v>239680</v>
      </c>
      <c r="F128" s="6">
        <v>1</v>
      </c>
      <c r="G128" s="6">
        <f>INT(E128/100000)</f>
        <v>2</v>
      </c>
      <c r="H128" s="6">
        <f>INT(($E128-100000*G128)/10000)</f>
        <v>3</v>
      </c>
      <c r="I128" s="6">
        <f>INT(($E128-100000*G128-10000*H128)/1000)</f>
        <v>9</v>
      </c>
      <c r="J128" s="6">
        <f>INT(($E128-100000*$G128-10000*$H128-1000*$I128)/100)</f>
        <v>6</v>
      </c>
      <c r="K128" s="6">
        <f>INT(($E128-100000*$G128-10000*$H128-1000*$I128-100*$J128)/10)</f>
        <v>8</v>
      </c>
      <c r="L128" s="6">
        <f>INT(($E128-100000*$G128-10000*$H128-1000*$I128-100*$J128-10*$K128))</f>
        <v>0</v>
      </c>
      <c r="M128" s="7">
        <v>2</v>
      </c>
      <c r="N128" s="18"/>
      <c r="O128" s="76">
        <f>10*LOG10((10^((100+10*LOG10(1/(4*PI()*(3+J128/2)^2)))/10)+10^((100-3+10*LOG10(1/(4*PI()*(3+J128/2)^2)))/10))/10^((100+10*LOG10(4*(1+L128/10)/(0.16*(2000+K128*100))))/10))</f>
        <v>-4.2985947968271665</v>
      </c>
      <c r="P128" s="7">
        <f>IF(N128="",0,IF(EXACT(RIGHT(N128,2),"dB"),IF(ABS(VALUE(LEFT(N128,FIND(" ",N128,1)))-O128)&lt;=0.5,1,-1),-1))</f>
        <v>0</v>
      </c>
      <c r="Q128" s="18"/>
      <c r="R128" s="35">
        <f>(10^((100-3+10*LOG10(1/(4*PI()*(3+J128/2)^2)))/10)*COS((90-(30+L128*6))/180*PI()))/(10^((100+10*LOG10(1/(4*PI()*(3+J128/2)^2)))/10)+10^((100-3+10*LOG10(1/(4*PI()*(3+J128/2)^2)))/10))</f>
        <v>0.16693028770843929</v>
      </c>
      <c r="S128" s="7">
        <f>IF(Q128="",0,IF(ABS(VALUE(Q128)-R128)&lt;=0.05,1,-1))</f>
        <v>0</v>
      </c>
      <c r="T128" s="18"/>
      <c r="U128" s="76">
        <f>10*LOG10(10^((100+10*LOG10(1/(4*PI()*(3+J128/2)^2)))/10)+10^((100-3+10*LOG10(1/(4*PI()*(3+J128/2)^2)))/10)+10^((100+10*LOG10(4*(1+L128/10)/(0.16*(2000+K128*100))))/10))-100+31</f>
        <v>11.880270146962943</v>
      </c>
      <c r="V128" s="7">
        <f>IF(T128="",0,IF(EXACT(RIGHT(T128,2),"dB"),IF(ABS(VALUE(LEFT(T128,FIND(" ",T128,1)))-U128)&lt;=0.5,1,-1),-1))</f>
        <v>0</v>
      </c>
      <c r="W128" s="58">
        <v>0.47599999999999998</v>
      </c>
      <c r="X128" s="35">
        <f>(0.5+L128/20)/(1+10^(-(5+K128)/10))</f>
        <v>0.47613663948289808</v>
      </c>
      <c r="Y128" s="7">
        <f>IF(W128="",0,IF(ABS(VALUE(W128)-X128)&lt;=0.05,1,-1))</f>
        <v>1</v>
      </c>
      <c r="Z128" s="34" t="s">
        <v>472</v>
      </c>
      <c r="AA128" s="76">
        <f>10*LOG10(1+((100+K128*10+L128)*(0.5+J128/20))/((0.1+J128/100)*(6*(5+L128/2)^2)))</f>
        <v>8.4509804001425675</v>
      </c>
      <c r="AB128" s="7">
        <f>IF(Z128="",0,IF(EXACT(RIGHT(Z128,2),"dB"),IF(ABS(VALUE(LEFT(Z128,FIND(" ",Z128,1)))-AA128)&lt;=0.5,1,-1),-1))</f>
        <v>-1</v>
      </c>
      <c r="AC128" s="34">
        <v>0.4</v>
      </c>
      <c r="AD128" s="35">
        <f>0.3+L128/30+0.1</f>
        <v>0.4</v>
      </c>
      <c r="AE128" s="7">
        <f>IF(AC128="",0,IF(ABS(VALUE(AC128)-AD128)&lt;=0.05,1,-1))</f>
        <v>1</v>
      </c>
      <c r="AF128" s="34">
        <v>0.6</v>
      </c>
      <c r="AG128" s="35">
        <f>1-AD128</f>
        <v>0.6</v>
      </c>
      <c r="AH128" s="7">
        <f>IF(AF128="",0,IF(ABS(VALUE(AF128)-AG128)&lt;=0.05,1,-1))</f>
        <v>1</v>
      </c>
      <c r="AI128" s="34" t="s">
        <v>471</v>
      </c>
      <c r="AJ128" s="76">
        <f>-10*LOG10(1-(0.3+K128/20))</f>
        <v>5.2287874528033749</v>
      </c>
      <c r="AK128" s="7">
        <f>IF(AI128="",0,IF(EXACT(RIGHT(AI128,2),"dB"),IF(ABS(ABS(VALUE(LEFT(AI128,FIND(" ",AI128,1))))-AJ128)&lt;=0.5,1,-1),-1))</f>
        <v>-1</v>
      </c>
      <c r="AL128" s="34">
        <v>0.85329999999999995</v>
      </c>
      <c r="AM128" s="35">
        <f>((0.16*(200+K128*10+L128)/(2+K128/10))-0.16*(200+K128*10+L128)/(6+L128/10))/10</f>
        <v>0.8533333333333335</v>
      </c>
      <c r="AN128" s="7">
        <f>IF(AL128="",0,IF(ABS(VALUE(AL128)-AM128)&lt;=0.05,1,-1))</f>
        <v>1</v>
      </c>
      <c r="AO128" s="34" t="s">
        <v>473</v>
      </c>
      <c r="AP128" s="35">
        <f>((0.16*(200+K128*10+L128)/(2+K128/10))-0.16*(200+K128*10+L128)/(6+L128/10))/(10+J128)</f>
        <v>0.53333333333333344</v>
      </c>
      <c r="AQ128" s="7">
        <f>IF(AO128="",0,IF(EXACT(RIGHT(AO128,2),"m2"),IF(ABS(VALUE(LEFT(AO128,FIND(" ",AO128,1)))-AP128)&lt;=0.05,1,-1),-1))</f>
        <v>1</v>
      </c>
      <c r="AR128" s="48">
        <f>M128+P128+S128+V128+Y128+AB128+AE128+AH128+AK128+AN128+AQ128</f>
        <v>5</v>
      </c>
    </row>
    <row r="129" spans="1:44" ht="12.75" x14ac:dyDescent="0.2">
      <c r="A129" s="32">
        <v>127</v>
      </c>
      <c r="B129" s="33">
        <v>41950.769684236111</v>
      </c>
      <c r="C129" s="34" t="s">
        <v>69</v>
      </c>
      <c r="D129" s="34" t="s">
        <v>70</v>
      </c>
      <c r="E129" s="17">
        <v>241028</v>
      </c>
      <c r="F129" s="6">
        <v>1</v>
      </c>
      <c r="G129" s="6">
        <f>INT(E129/100000)</f>
        <v>2</v>
      </c>
      <c r="H129" s="6">
        <f>INT(($E129-100000*G129)/10000)</f>
        <v>4</v>
      </c>
      <c r="I129" s="6">
        <f>INT(($E129-100000*G129-10000*H129)/1000)</f>
        <v>1</v>
      </c>
      <c r="J129" s="6">
        <f>INT(($E129-100000*$G129-10000*$H129-1000*$I129)/100)</f>
        <v>0</v>
      </c>
      <c r="K129" s="6">
        <f>INT(($E129-100000*$G129-10000*$H129-1000*$I129-100*$J129)/10)</f>
        <v>2</v>
      </c>
      <c r="L129" s="6">
        <f>INT(($E129-100000*$G129-10000*$H129-1000*$I129-100*$J129-10*$K129))</f>
        <v>8</v>
      </c>
      <c r="M129" s="7">
        <v>2</v>
      </c>
      <c r="N129" s="18"/>
      <c r="O129" s="76">
        <f>10*LOG10((10^((100+10*LOG10(1/(4*PI()*(3+J129/2)^2)))/10)+10^((100-3+10*LOG10(1/(4*PI()*(3+J129/2)^2)))/10))/10^((100+10*LOG10(4*(1+L129/10)/(0.16*(2000+K129*100))))/10))</f>
        <v>-1.8780734397807386</v>
      </c>
      <c r="P129" s="7">
        <f>IF(N129="",0,IF(EXACT(RIGHT(N129,2),"dB"),IF(ABS(VALUE(LEFT(N129,FIND(" ",N129,1)))-O129)&lt;=0.5,1,-1),-1))</f>
        <v>0</v>
      </c>
      <c r="Q129" s="18"/>
      <c r="R129" s="35">
        <f>(10^((100-3+10*LOG10(1/(4*PI()*(3+J129/2)^2)))/10)*COS((90-(30+L129*6))/180*PI()))/(10^((100+10*LOG10(1/(4*PI()*(3+J129/2)^2)))/10)+10^((100-3+10*LOG10(1/(4*PI()*(3+J129/2)^2)))/10))</f>
        <v>0.32656492082362754</v>
      </c>
      <c r="S129" s="7">
        <f>IF(Q129="",0,IF(ABS(VALUE(Q129)-R129)&lt;=0.05,1,-1))</f>
        <v>0</v>
      </c>
      <c r="T129" s="18"/>
      <c r="U129" s="76">
        <f>10*LOG10(10^((100+10*LOG10(1/(4*PI()*(3+J129/2)^2)))/10)+10^((100-3+10*LOG10(1/(4*PI()*(3+J129/2)^2)))/10)+10^((100+10*LOG10(4*(1+L129/10)/(0.16*(2000+K129*100))))/10))-100+31</f>
        <v>16.279900075557705</v>
      </c>
      <c r="V129" s="7">
        <f>IF(T129="",0,IF(EXACT(RIGHT(T129,2),"dB"),IF(ABS(VALUE(LEFT(T129,FIND(" ",T129,1)))-U129)&lt;=0.5,1,-1),-1))</f>
        <v>0</v>
      </c>
      <c r="W129" s="58">
        <v>0.75029599999999996</v>
      </c>
      <c r="X129" s="35">
        <f>(0.5+L129/20)/(1+10^(-(5+K129)/10))</f>
        <v>0.75029622226509429</v>
      </c>
      <c r="Y129" s="7">
        <f>IF(W129="",0,IF(ABS(VALUE(W129)-X129)&lt;=0.05,1,-1))</f>
        <v>1</v>
      </c>
      <c r="Z129" s="36" t="s">
        <v>72</v>
      </c>
      <c r="AA129" s="76">
        <f>10*LOG10(1+((100+K129*10+L129)*(0.5+J129/20))/((0.1+J129/100)*(6*(5+L129/2)^2)))</f>
        <v>3.6490212125303407</v>
      </c>
      <c r="AB129" s="7">
        <f>IF(Z129="",0,IF(EXACT(RIGHT(Z129,2),"dB"),IF(ABS(VALUE(LEFT(Z129,FIND(" ",Z129,1)))-AA129)&lt;=0.5,1,-1),-1))</f>
        <v>-1</v>
      </c>
      <c r="AC129" s="34">
        <v>0.66666599999999998</v>
      </c>
      <c r="AD129" s="35">
        <f>0.3+L129/30+0.1</f>
        <v>0.66666666666666663</v>
      </c>
      <c r="AE129" s="7">
        <f>IF(AC129="",0,IF(ABS(VALUE(AC129)-AD129)&lt;=0.05,1,-1))</f>
        <v>1</v>
      </c>
      <c r="AF129" s="34">
        <v>0.33333299999999999</v>
      </c>
      <c r="AG129" s="35">
        <f>1-AD129</f>
        <v>0.33333333333333337</v>
      </c>
      <c r="AH129" s="7">
        <f>IF(AF129="",0,IF(ABS(VALUE(AF129)-AG129)&lt;=0.05,1,-1))</f>
        <v>1</v>
      </c>
      <c r="AI129" s="36" t="s">
        <v>71</v>
      </c>
      <c r="AJ129" s="76">
        <f>-10*LOG10(1-(0.3+K129/20))</f>
        <v>2.2184874961635641</v>
      </c>
      <c r="AK129" s="7">
        <f>IF(AI129="",0,IF(EXACT(RIGHT(AI129,2),"dB"),IF(ABS(ABS(VALUE(LEFT(AI129,FIND(" ",AI129,1))))-AJ129)&lt;=0.5,1,-1),-1))</f>
        <v>-1</v>
      </c>
      <c r="AL129" s="34">
        <v>1.12171</v>
      </c>
      <c r="AM129" s="35">
        <f>((0.16*(200+K129*10+L129)/(2+K129/10))-0.16*(200+K129*10+L129)/(6+L129/10))/10</f>
        <v>1.1217112299465239</v>
      </c>
      <c r="AN129" s="7">
        <f>IF(AL129="",0,IF(ABS(VALUE(AL129)-AM129)&lt;=0.05,1,-1))</f>
        <v>1</v>
      </c>
      <c r="AO129" s="34" t="s">
        <v>73</v>
      </c>
      <c r="AP129" s="35">
        <f>((0.16*(200+K129*10+L129)/(2+K129/10))-0.16*(200+K129*10+L129)/(6+L129/10))/(10+J129)</f>
        <v>1.1217112299465239</v>
      </c>
      <c r="AQ129" s="7">
        <f>IF(AO129="",0,IF(EXACT(RIGHT(AO129,2),"m2"),IF(ABS(VALUE(LEFT(AO129,FIND(" ",AO129,1)))-AP129)&lt;=0.05,1,-1),-1))</f>
        <v>1</v>
      </c>
      <c r="AR129" s="48">
        <f>M129+P129+S129+V129+Y129+AB129+AE129+AH129+AK129+AN129+AQ129</f>
        <v>5</v>
      </c>
    </row>
    <row r="130" spans="1:44" ht="12.75" x14ac:dyDescent="0.2">
      <c r="A130" s="32">
        <v>128</v>
      </c>
      <c r="B130" s="33">
        <v>41950.769996192132</v>
      </c>
      <c r="C130" s="34" t="s">
        <v>631</v>
      </c>
      <c r="D130" s="34" t="s">
        <v>632</v>
      </c>
      <c r="E130" s="17">
        <v>259372</v>
      </c>
      <c r="F130" s="6">
        <v>1</v>
      </c>
      <c r="G130" s="6">
        <f>INT(E130/100000)</f>
        <v>2</v>
      </c>
      <c r="H130" s="6">
        <f>INT(($E130-100000*G130)/10000)</f>
        <v>5</v>
      </c>
      <c r="I130" s="6">
        <f>INT(($E130-100000*G130-10000*H130)/1000)</f>
        <v>9</v>
      </c>
      <c r="J130" s="6">
        <f>INT(($E130-100000*$G130-10000*$H130-1000*$I130)/100)</f>
        <v>3</v>
      </c>
      <c r="K130" s="6">
        <f>INT(($E130-100000*$G130-10000*$H130-1000*$I130-100*$J130)/10)</f>
        <v>7</v>
      </c>
      <c r="L130" s="6">
        <f>INT(($E130-100000*$G130-10000*$H130-1000*$I130-100*$J130-10*$K130))</f>
        <v>2</v>
      </c>
      <c r="M130" s="7">
        <v>2</v>
      </c>
      <c r="N130" s="34" t="s">
        <v>633</v>
      </c>
      <c r="O130" s="76">
        <f>10*LOG10((10^((100+10*LOG10(1/(4*PI()*(3+J130/2)^2)))/10)+10^((100-3+10*LOG10(1/(4*PI()*(3+J130/2)^2)))/10))/10^((100+10*LOG10(4*(1+L130/10)/(0.16*(2000+K130*100))))/10))</f>
        <v>-2.7495751969697286</v>
      </c>
      <c r="P130" s="7">
        <f>IF(N130="",0,IF(EXACT(RIGHT(N130,2),"dB"),IF(ABS(VALUE(LEFT(N130,FIND(" ",N130,1)))-O130)&lt;=0.5,1,-1),-1))</f>
        <v>-1</v>
      </c>
      <c r="Q130" s="34">
        <v>0.223</v>
      </c>
      <c r="R130" s="35">
        <f>(10^((100-3+10*LOG10(1/(4*PI()*(3+J130/2)^2)))/10)*COS((90-(30+L130*6))/180*PI()))/(10^((100+10*LOG10(1/(4*PI()*(3+J130/2)^2)))/10)+10^((100-3+10*LOG10(1/(4*PI()*(3+J130/2)^2)))/10))</f>
        <v>0.22339632926801276</v>
      </c>
      <c r="S130" s="7">
        <f>IF(Q130="",0,IF(ABS(VALUE(Q130)-R130)&lt;=0.05,1,-1))</f>
        <v>1</v>
      </c>
      <c r="T130" s="34" t="s">
        <v>634</v>
      </c>
      <c r="U130" s="76">
        <f>10*LOG10(10^((100+10*LOG10(1/(4*PI()*(3+J130/2)^2)))/10)+10^((100-3+10*LOG10(1/(4*PI()*(3+J130/2)^2)))/10)+10^((100+10*LOG10(4*(1+L130/10)/(0.16*(2000+K130*100))))/10))-100+31</f>
        <v>13.307146325509351</v>
      </c>
      <c r="V130" s="7">
        <f>IF(T130="",0,IF(EXACT(RIGHT(T130,2),"dB"),IF(ABS(VALUE(LEFT(T130,FIND(" ",T130,1)))-U130)&lt;=0.5,1,-1),-1))</f>
        <v>-1</v>
      </c>
      <c r="W130" s="58">
        <v>0.56399999999999995</v>
      </c>
      <c r="X130" s="35">
        <f>(0.5+L130/20)/(1+10^(-(5+K130)/10))</f>
        <v>0.56438943413833942</v>
      </c>
      <c r="Y130" s="7">
        <f>IF(W130="",0,IF(ABS(VALUE(W130)-X130)&lt;=0.05,1,-1))</f>
        <v>1</v>
      </c>
      <c r="Z130" s="34" t="s">
        <v>635</v>
      </c>
      <c r="AA130" s="76">
        <f>10*LOG10(1+((100+K130*10+L130)*(0.5+J130/20))/((0.1+J130/100)*(6*(5+L130/2)^2)))</f>
        <v>6.9735852017943945</v>
      </c>
      <c r="AB130" s="7">
        <f>IF(Z130="",0,IF(EXACT(RIGHT(Z130,2),"dB"),IF(ABS(VALUE(LEFT(Z130,FIND(" ",Z130,1)))-AA130)&lt;=0.5,1,-1),-1))</f>
        <v>-1</v>
      </c>
      <c r="AC130" s="34">
        <v>0.46660000000000001</v>
      </c>
      <c r="AD130" s="35">
        <f>0.3+L130/30+0.1</f>
        <v>0.46666666666666667</v>
      </c>
      <c r="AE130" s="7">
        <f>IF(AC130="",0,IF(ABS(VALUE(AC130)-AD130)&lt;=0.05,1,-1))</f>
        <v>1</v>
      </c>
      <c r="AF130" s="34">
        <v>0.53300000000000003</v>
      </c>
      <c r="AG130" s="35">
        <f>1-AD130</f>
        <v>0.53333333333333333</v>
      </c>
      <c r="AH130" s="7">
        <f>IF(AF130="",0,IF(ABS(VALUE(AF130)-AG130)&lt;=0.05,1,-1))</f>
        <v>1</v>
      </c>
      <c r="AI130" s="18"/>
      <c r="AJ130" s="76">
        <f>-10*LOG10(1-(0.3+K130/20))</f>
        <v>4.5593195564972424</v>
      </c>
      <c r="AK130" s="7">
        <f>IF(AI130="",0,IF(EXACT(RIGHT(AI130,2),"dB"),IF(ABS(ABS(VALUE(LEFT(AI130,FIND(" ",AI130,1))))-AJ130)&lt;=0.5,1,-1),-1))</f>
        <v>0</v>
      </c>
      <c r="AL130" s="34">
        <v>0.90990000000000004</v>
      </c>
      <c r="AM130" s="35">
        <f>((0.16*(200+K130*10+L130)/(2+K130/10))-0.16*(200+K130*10+L130)/(6+L130/10))/10</f>
        <v>0.90991636798088393</v>
      </c>
      <c r="AN130" s="7">
        <f>IF(AL130="",0,IF(ABS(VALUE(AL130)-AM130)&lt;=0.05,1,-1))</f>
        <v>1</v>
      </c>
      <c r="AO130" s="34" t="s">
        <v>636</v>
      </c>
      <c r="AP130" s="35">
        <f>((0.16*(200+K130*10+L130)/(2+K130/10))-0.16*(200+K130*10+L130)/(6+L130/10))/(10+J130)</f>
        <v>0.69993566767760307</v>
      </c>
      <c r="AQ130" s="7">
        <f>IF(AO130="",0,IF(EXACT(RIGHT(AO130,2),"m2"),IF(ABS(VALUE(LEFT(AO130,FIND(" ",AO130,1)))-AP130)&lt;=0.05,1,-1),-1))</f>
        <v>1</v>
      </c>
      <c r="AR130" s="48">
        <f>M130+P130+S130+V130+Y130+AB130+AE130+AH130+AK130+AN130+AQ130</f>
        <v>5</v>
      </c>
    </row>
    <row r="131" spans="1:44" ht="12.75" x14ac:dyDescent="0.2">
      <c r="A131" s="32">
        <v>129</v>
      </c>
      <c r="B131" s="33">
        <v>41950.770473344906</v>
      </c>
      <c r="C131" s="34" t="s">
        <v>684</v>
      </c>
      <c r="D131" s="34" t="s">
        <v>685</v>
      </c>
      <c r="E131" s="17">
        <v>255013</v>
      </c>
      <c r="F131" s="6">
        <v>1</v>
      </c>
      <c r="G131" s="6">
        <f>INT(E131/100000)</f>
        <v>2</v>
      </c>
      <c r="H131" s="6">
        <f>INT(($E131-100000*G131)/10000)</f>
        <v>5</v>
      </c>
      <c r="I131" s="6">
        <f>INT(($E131-100000*G131-10000*H131)/1000)</f>
        <v>5</v>
      </c>
      <c r="J131" s="6">
        <f>INT(($E131-100000*$G131-10000*$H131-1000*$I131)/100)</f>
        <v>0</v>
      </c>
      <c r="K131" s="6">
        <f>INT(($E131-100000*$G131-10000*$H131-1000*$I131-100*$J131)/10)</f>
        <v>1</v>
      </c>
      <c r="L131" s="6">
        <f>INT(($E131-100000*$G131-10000*$H131-1000*$I131-100*$J131-10*$K131))</f>
        <v>3</v>
      </c>
      <c r="M131" s="7">
        <v>2</v>
      </c>
      <c r="N131" s="18"/>
      <c r="O131" s="76">
        <f>10*LOG10((10^((100+10*LOG10(1/(4*PI()*(3+J131/2)^2)))/10)+10^((100-3+10*LOG10(1/(4*PI()*(3+J131/2)^2)))/10))/10^((100+10*LOG10(4*(1+L131/10)/(0.16*(2000+K131*100))))/10))</f>
        <v>-0.66681577269891346</v>
      </c>
      <c r="P131" s="7">
        <f>IF(N131="",0,IF(EXACT(RIGHT(N131,2),"dB"),IF(ABS(VALUE(LEFT(N131,FIND(" ",N131,1)))-O131)&lt;=0.5,1,-1),-1))</f>
        <v>0</v>
      </c>
      <c r="Q131" s="18"/>
      <c r="R131" s="35">
        <f>(10^((100-3+10*LOG10(1/(4*PI()*(3+J131/2)^2)))/10)*COS((90-(30+L131*6))/180*PI()))/(10^((100+10*LOG10(1/(4*PI()*(3+J131/2)^2)))/10)+10^((100-3+10*LOG10(1/(4*PI()*(3+J131/2)^2)))/10))</f>
        <v>0.24810675905195864</v>
      </c>
      <c r="S131" s="7">
        <f>IF(Q131="",0,IF(ABS(VALUE(Q131)-R131)&lt;=0.05,1,-1))</f>
        <v>0</v>
      </c>
      <c r="T131" s="18"/>
      <c r="U131" s="76">
        <f>10*LOG10(10^((100+10*LOG10(1/(4*PI()*(3+J131/2)^2)))/10)+10^((100-3+10*LOG10(1/(4*PI()*(3+J131/2)^2)))/10)+10^((100+10*LOG10(4*(1+L131/10)/(0.16*(2000+K131*100))))/10))-100+31</f>
        <v>15.586318043677963</v>
      </c>
      <c r="V131" s="7">
        <f>IF(T131="",0,IF(EXACT(RIGHT(T131,2),"dB"),IF(ABS(VALUE(LEFT(T131,FIND(" ",T131,1)))-U131)&lt;=0.5,1,-1),-1))</f>
        <v>0</v>
      </c>
      <c r="W131" s="58">
        <v>0.52</v>
      </c>
      <c r="X131" s="35">
        <f>(0.5+L131/20)/(1+10^(-(5+K131)/10))</f>
        <v>0.51950599420648391</v>
      </c>
      <c r="Y131" s="7">
        <f>IF(W131="",0,IF(ABS(VALUE(W131)-X131)&lt;=0.05,1,-1))</f>
        <v>1</v>
      </c>
      <c r="Z131" s="36" t="s">
        <v>687</v>
      </c>
      <c r="AA131" s="76">
        <f>10*LOG10(1+((100+K131*10+L131)*(0.5+J131/20))/((0.1+J131/100)*(6*(5+L131/2)^2)))</f>
        <v>5.0904072007860544</v>
      </c>
      <c r="AB131" s="7">
        <f>IF(Z131="",0,IF(EXACT(RIGHT(Z131,2),"dB"),IF(ABS(VALUE(LEFT(Z131,FIND(" ",Z131,1)))-AA131)&lt;=0.5,1,-1),-1))</f>
        <v>-1</v>
      </c>
      <c r="AC131" s="34">
        <v>0.5</v>
      </c>
      <c r="AD131" s="35">
        <f>0.3+L131/30+0.1</f>
        <v>0.5</v>
      </c>
      <c r="AE131" s="7">
        <f>IF(AC131="",0,IF(ABS(VALUE(AC131)-AD131)&lt;=0.05,1,-1))</f>
        <v>1</v>
      </c>
      <c r="AF131" s="34">
        <v>0.5</v>
      </c>
      <c r="AG131" s="35">
        <f>1-AD131</f>
        <v>0.5</v>
      </c>
      <c r="AH131" s="7">
        <f>IF(AF131="",0,IF(ABS(VALUE(AF131)-AG131)&lt;=0.05,1,-1))</f>
        <v>1</v>
      </c>
      <c r="AI131" s="34" t="s">
        <v>686</v>
      </c>
      <c r="AJ131" s="76">
        <f>-10*LOG10(1-(0.3+K131/20))</f>
        <v>1.8708664335714442</v>
      </c>
      <c r="AK131" s="7">
        <f>IF(AI131="",0,IF(EXACT(RIGHT(AI131,2),"dB"),IF(ABS(ABS(VALUE(LEFT(AI131,FIND(" ",AI131,1))))-AJ131)&lt;=0.5,1,-1),-1))</f>
        <v>1</v>
      </c>
      <c r="AL131" s="34">
        <v>1.0820000000000001</v>
      </c>
      <c r="AM131" s="35">
        <f>((0.16*(200+K131*10+L131)/(2+K131/10))-0.16*(200+K131*10+L131)/(6+L131/10))/10</f>
        <v>1.0819047619047617</v>
      </c>
      <c r="AN131" s="7">
        <f>IF(AL131="",0,IF(ABS(VALUE(AL131)-AM131)&lt;=0.05,1,-1))</f>
        <v>1</v>
      </c>
      <c r="AO131" s="34" t="s">
        <v>688</v>
      </c>
      <c r="AP131" s="35">
        <f>((0.16*(200+K131*10+L131)/(2+K131/10))-0.16*(200+K131*10+L131)/(6+L131/10))/(10+J131)</f>
        <v>1.0819047619047617</v>
      </c>
      <c r="AQ131" s="7">
        <f>IF(AO131="",0,IF(EXACT(RIGHT(AO131,2),"m2"),IF(ABS(VALUE(LEFT(AO131,FIND(" ",AO131,1)))-AP131)&lt;=0.05,1,-1),-1))</f>
        <v>-1</v>
      </c>
      <c r="AR131" s="48">
        <f>M131+P131+S131+V131+Y131+AB131+AE131+AH131+AK131+AN131+AQ131</f>
        <v>5</v>
      </c>
    </row>
    <row r="132" spans="1:44" ht="12.75" x14ac:dyDescent="0.2">
      <c r="A132" s="32">
        <v>130</v>
      </c>
      <c r="B132" s="33">
        <v>41950.77064949074</v>
      </c>
      <c r="C132" s="34" t="s">
        <v>689</v>
      </c>
      <c r="D132" s="34" t="s">
        <v>690</v>
      </c>
      <c r="E132" s="17">
        <v>239517</v>
      </c>
      <c r="F132" s="6">
        <v>1</v>
      </c>
      <c r="G132" s="6">
        <f>INT(E132/100000)</f>
        <v>2</v>
      </c>
      <c r="H132" s="6">
        <f>INT(($E132-100000*G132)/10000)</f>
        <v>3</v>
      </c>
      <c r="I132" s="6">
        <f>INT(($E132-100000*G132-10000*H132)/1000)</f>
        <v>9</v>
      </c>
      <c r="J132" s="6">
        <f>INT(($E132-100000*$G132-10000*$H132-1000*$I132)/100)</f>
        <v>5</v>
      </c>
      <c r="K132" s="6">
        <f>INT(($E132-100000*$G132-10000*$H132-1000*$I132-100*$J132)/10)</f>
        <v>1</v>
      </c>
      <c r="L132" s="6">
        <f>INT(($E132-100000*$G132-10000*$H132-1000*$I132-100*$J132-10*$K132))</f>
        <v>7</v>
      </c>
      <c r="M132" s="7">
        <v>2</v>
      </c>
      <c r="N132" s="18"/>
      <c r="O132" s="76">
        <f>10*LOG10((10^((100+10*LOG10(1/(4*PI()*(3+J132/2)^2)))/10)+10^((100-3+10*LOG10(1/(4*PI()*(3+J132/2)^2)))/10))/10^((100+10*LOG10(4*(1+L132/10)/(0.16*(2000+K132*100))))/10))</f>
        <v>-7.0967001589049064</v>
      </c>
      <c r="P132" s="7">
        <f>IF(N132="",0,IF(EXACT(RIGHT(N132,2),"dB"),IF(ABS(VALUE(LEFT(N132,FIND(" ",N132,1)))-O132)&lt;=0.5,1,-1),-1))</f>
        <v>0</v>
      </c>
      <c r="Q132" s="18"/>
      <c r="R132" s="35">
        <f>(10^((100-3+10*LOG10(1/(4*PI()*(3+J132/2)^2)))/10)*COS((90-(30+L132*6))/180*PI()))/(10^((100+10*LOG10(1/(4*PI()*(3+J132/2)^2)))/10)+10^((100-3+10*LOG10(1/(4*PI()*(3+J132/2)^2)))/10))</f>
        <v>0.31752027578427111</v>
      </c>
      <c r="S132" s="7">
        <f>IF(Q132="",0,IF(ABS(VALUE(Q132)-R132)&lt;=0.05,1,-1))</f>
        <v>0</v>
      </c>
      <c r="T132" s="18"/>
      <c r="U132" s="76">
        <f>10*LOG10(10^((100+10*LOG10(1/(4*PI()*(3+J132/2)^2)))/10)+10^((100-3+10*LOG10(1/(4*PI()*(3+J132/2)^2)))/10)+10^((100+10*LOG10(4*(1+L132/10)/(0.16*(2000+K132*100))))/10))-100+31</f>
        <v>14.835857532187134</v>
      </c>
      <c r="V132" s="7">
        <f>IF(T132="",0,IF(EXACT(RIGHT(T132,2),"dB"),IF(ABS(VALUE(LEFT(T132,FIND(" ",T132,1)))-U132)&lt;=0.5,1,-1),-1))</f>
        <v>0</v>
      </c>
      <c r="W132" s="58">
        <v>0.46645999999999999</v>
      </c>
      <c r="X132" s="35">
        <f>(0.5+L132/20)/(1+10^(-(5+K132)/10))</f>
        <v>0.67935399242386352</v>
      </c>
      <c r="Y132" s="7">
        <f>IF(W132="",0,IF(ABS(VALUE(W132)-X132)&lt;=0.05,1,-1))</f>
        <v>-1</v>
      </c>
      <c r="Z132" s="34" t="s">
        <v>692</v>
      </c>
      <c r="AA132" s="76">
        <f>10*LOG10(1+((100+K132*10+L132)*(0.5+J132/20))/((0.1+J132/100)*(6*(5+L132/2)^2)))</f>
        <v>3.7097193152395382</v>
      </c>
      <c r="AB132" s="7">
        <f>IF(Z132="",0,IF(EXACT(RIGHT(Z132,2),"dB"),IF(ABS(VALUE(LEFT(Z132,FIND(" ",Z132,1)))-AA132)&lt;=0.5,1,-1),-1))</f>
        <v>1</v>
      </c>
      <c r="AC132" s="34">
        <v>0.63329999999999997</v>
      </c>
      <c r="AD132" s="35">
        <f>0.3+L132/30+0.1</f>
        <v>0.6333333333333333</v>
      </c>
      <c r="AE132" s="7">
        <f>IF(AC132="",0,IF(ABS(VALUE(AC132)-AD132)&lt;=0.05,1,-1))</f>
        <v>1</v>
      </c>
      <c r="AF132" s="34">
        <v>0.36659999999999998</v>
      </c>
      <c r="AG132" s="35">
        <f>1-AD132</f>
        <v>0.3666666666666667</v>
      </c>
      <c r="AH132" s="7">
        <f>IF(AF132="",0,IF(ABS(VALUE(AF132)-AG132)&lt;=0.05,1,-1))</f>
        <v>1</v>
      </c>
      <c r="AI132" s="73" t="s">
        <v>691</v>
      </c>
      <c r="AJ132" s="76">
        <f>-10*LOG10(1-(0.3+K132/20))</f>
        <v>1.8708664335714442</v>
      </c>
      <c r="AK132" s="7">
        <f>IF(AI132="",0,IF(EXACT(RIGHT(AI132,2),"dB"),IF(ABS(ABS(VALUE(LEFT(AI132,FIND(" ",AI132,1))))-AJ132)&lt;=0.5,1,-1),-1))</f>
        <v>-1</v>
      </c>
      <c r="AL132" s="34">
        <v>1.1351</v>
      </c>
      <c r="AM132" s="35">
        <f>((0.16*(200+K132*10+L132)/(2+K132/10))-0.16*(200+K132*10+L132)/(6+L132/10))/10</f>
        <v>1.1351243781094527</v>
      </c>
      <c r="AN132" s="7">
        <f>IF(AL132="",0,IF(ABS(VALUE(AL132)-AM132)&lt;=0.05,1,-1))</f>
        <v>1</v>
      </c>
      <c r="AO132" s="34" t="s">
        <v>693</v>
      </c>
      <c r="AP132" s="35">
        <f>((0.16*(200+K132*10+L132)/(2+K132/10))-0.16*(200+K132*10+L132)/(6+L132/10))/(10+J132)</f>
        <v>0.75674958540630177</v>
      </c>
      <c r="AQ132" s="7">
        <f>IF(AO132="",0,IF(EXACT(RIGHT(AO132,2),"m2"),IF(ABS(VALUE(LEFT(AO132,FIND(" ",AO132,1)))-AP132)&lt;=0.05,1,-1),-1))</f>
        <v>1</v>
      </c>
      <c r="AR132" s="48">
        <f>M132+P132+S132+V132+Y132+AB132+AE132+AH132+AK132+AN132+AQ132</f>
        <v>5</v>
      </c>
    </row>
    <row r="133" spans="1:44" ht="12.75" x14ac:dyDescent="0.2">
      <c r="A133" s="32">
        <v>131</v>
      </c>
      <c r="B133" s="33">
        <v>41950.771379224534</v>
      </c>
      <c r="C133" s="34" t="s">
        <v>17</v>
      </c>
      <c r="D133" s="34" t="s">
        <v>18</v>
      </c>
      <c r="E133" s="17">
        <v>233172</v>
      </c>
      <c r="F133" s="6">
        <v>1</v>
      </c>
      <c r="G133" s="6">
        <f>INT(E133/100000)</f>
        <v>2</v>
      </c>
      <c r="H133" s="6">
        <f>INT(($E133-100000*G133)/10000)</f>
        <v>3</v>
      </c>
      <c r="I133" s="6">
        <f>INT(($E133-100000*G133-10000*H133)/1000)</f>
        <v>3</v>
      </c>
      <c r="J133" s="6">
        <f>INT(($E133-100000*$G133-10000*$H133-1000*$I133)/100)</f>
        <v>1</v>
      </c>
      <c r="K133" s="6">
        <f>INT(($E133-100000*$G133-10000*$H133-1000*$I133-100*$J133)/10)</f>
        <v>7</v>
      </c>
      <c r="L133" s="6">
        <f>INT(($E133-100000*$G133-10000*$H133-1000*$I133-100*$J133-10*$K133))</f>
        <v>2</v>
      </c>
      <c r="M133" s="7">
        <v>2</v>
      </c>
      <c r="N133" s="18"/>
      <c r="O133" s="76">
        <f>10*LOG10((10^((100+10*LOG10(1/(4*PI()*(3+J133/2)^2)))/10)+10^((100-3+10*LOG10(1/(4*PI()*(3+J133/2)^2)))/10))/10^((100+10*LOG10(4*(1+L133/10)/(0.16*(2000+K133*100))))/10))</f>
        <v>-0.56668580846836336</v>
      </c>
      <c r="P133" s="7">
        <f>IF(N133="",0,IF(EXACT(RIGHT(N133,2),"dB"),IF(ABS(VALUE(LEFT(N133,FIND(" ",N133,1)))-O133)&lt;=0.5,1,-1),-1))</f>
        <v>0</v>
      </c>
      <c r="Q133" s="18"/>
      <c r="R133" s="35">
        <f>(10^((100-3+10*LOG10(1/(4*PI()*(3+J133/2)^2)))/10)*COS((90-(30+L133*6))/180*PI()))/(10^((100+10*LOG10(1/(4*PI()*(3+J133/2)^2)))/10)+10^((100-3+10*LOG10(1/(4*PI()*(3+J133/2)^2)))/10))</f>
        <v>0.22339632926801273</v>
      </c>
      <c r="S133" s="7">
        <f>IF(Q133="",0,IF(ABS(VALUE(Q133)-R133)&lt;=0.05,1,-1))</f>
        <v>0</v>
      </c>
      <c r="T133" s="18"/>
      <c r="U133" s="76">
        <f>10*LOG10(10^((100+10*LOG10(1/(4*PI()*(3+J133/2)^2)))/10)+10^((100-3+10*LOG10(1/(4*PI()*(3+J133/2)^2)))/10)+10^((100+10*LOG10(4*(1+L133/10)/(0.16*(2000+K133*100))))/10))-100+31</f>
        <v>14.193768353430414</v>
      </c>
      <c r="V133" s="7">
        <f>IF(T133="",0,IF(EXACT(RIGHT(T133,2),"dB"),IF(ABS(VALUE(LEFT(T133,FIND(" ",T133,1)))-U133)&lt;=0.5,1,-1),-1))</f>
        <v>0</v>
      </c>
      <c r="W133" s="58">
        <v>0.56399999999999995</v>
      </c>
      <c r="X133" s="35">
        <f>(0.5+L133/20)/(1+10^(-(5+K133)/10))</f>
        <v>0.56438943413833942</v>
      </c>
      <c r="Y133" s="7">
        <f>IF(W133="",0,IF(ABS(VALUE(W133)-X133)&lt;=0.05,1,-1))</f>
        <v>1</v>
      </c>
      <c r="Z133" s="34" t="s">
        <v>20</v>
      </c>
      <c r="AA133" s="76">
        <f>10*LOG10(1+((100+K133*10+L133)*(0.5+J133/20))/((0.1+J133/100)*(6*(5+L133/2)^2)))</f>
        <v>6.9735852017943945</v>
      </c>
      <c r="AB133" s="7">
        <f>IF(Z133="",0,IF(EXACT(RIGHT(Z133,2),"dB"),IF(ABS(VALUE(LEFT(Z133,FIND(" ",Z133,1)))-AA133)&lt;=0.5,1,-1),-1))</f>
        <v>-1</v>
      </c>
      <c r="AC133" s="34">
        <v>0.46</v>
      </c>
      <c r="AD133" s="35">
        <f>0.3+L133/30+0.1</f>
        <v>0.46666666666666667</v>
      </c>
      <c r="AE133" s="7">
        <f>IF(AC133="",0,IF(ABS(VALUE(AC133)-AD133)&lt;=0.05,1,-1))</f>
        <v>1</v>
      </c>
      <c r="AF133" s="34">
        <v>0.53</v>
      </c>
      <c r="AG133" s="35">
        <f>1-AD133</f>
        <v>0.53333333333333333</v>
      </c>
      <c r="AH133" s="7">
        <f>IF(AF133="",0,IF(ABS(VALUE(AF133)-AG133)&lt;=0.05,1,-1))</f>
        <v>1</v>
      </c>
      <c r="AI133" s="34" t="s">
        <v>19</v>
      </c>
      <c r="AJ133" s="76">
        <f>-10*LOG10(1-(0.3+K133/20))</f>
        <v>4.5593195564972424</v>
      </c>
      <c r="AK133" s="7">
        <f>IF(AI133="",0,IF(EXACT(RIGHT(AI133,2),"dB"),IF(ABS(ABS(VALUE(LEFT(AI133,FIND(" ",AI133,1))))-AJ133)&lt;=0.5,1,-1),-1))</f>
        <v>-1</v>
      </c>
      <c r="AL133" s="34">
        <v>0.9</v>
      </c>
      <c r="AM133" s="35">
        <f>((0.16*(200+K133*10+L133)/(2+K133/10))-0.16*(200+K133*10+L133)/(6+L133/10))/10</f>
        <v>0.90991636798088393</v>
      </c>
      <c r="AN133" s="7">
        <f>IF(AL133="",0,IF(ABS(VALUE(AL133)-AM133)&lt;=0.05,1,-1))</f>
        <v>1</v>
      </c>
      <c r="AO133" s="34" t="s">
        <v>1036</v>
      </c>
      <c r="AP133" s="35">
        <f>((0.16*(200+K133*10+L133)/(2+K133/10))-0.16*(200+K133*10+L133)/(6+L133/10))/(10+J133)</f>
        <v>0.82719669816443997</v>
      </c>
      <c r="AQ133" s="7">
        <f>IF(AO133="",0,IF(EXACT(RIGHT(AO133,2),"m2"),IF(ABS(VALUE(LEFT(AO133,FIND(" ",AO133,1)))-AP133)&lt;=0.05,1,-1),-1))</f>
        <v>1</v>
      </c>
      <c r="AR133" s="48">
        <f>M133+P133+S133+V133+Y133+AB133+AE133+AH133+AK133+AN133+AQ133</f>
        <v>5</v>
      </c>
    </row>
    <row r="134" spans="1:44" ht="12.75" x14ac:dyDescent="0.2">
      <c r="A134" s="32">
        <v>132</v>
      </c>
      <c r="B134" s="33">
        <v>41950.771402384264</v>
      </c>
      <c r="C134" s="34" t="s">
        <v>766</v>
      </c>
      <c r="D134" s="34" t="s">
        <v>767</v>
      </c>
      <c r="E134" s="17">
        <v>231840</v>
      </c>
      <c r="F134" s="6">
        <v>1</v>
      </c>
      <c r="G134" s="6">
        <f>INT(E134/100000)</f>
        <v>2</v>
      </c>
      <c r="H134" s="6">
        <f>INT(($E134-100000*G134)/10000)</f>
        <v>3</v>
      </c>
      <c r="I134" s="6">
        <f>INT(($E134-100000*G134-10000*H134)/1000)</f>
        <v>1</v>
      </c>
      <c r="J134" s="6">
        <f>INT(($E134-100000*$G134-10000*$H134-1000*$I134)/100)</f>
        <v>8</v>
      </c>
      <c r="K134" s="6">
        <f>INT(($E134-100000*$G134-10000*$H134-1000*$I134-100*$J134)/10)</f>
        <v>4</v>
      </c>
      <c r="L134" s="6">
        <f>INT(($E134-100000*$G134-10000*$H134-1000*$I134-100*$J134-10*$K134))</f>
        <v>0</v>
      </c>
      <c r="M134" s="7">
        <v>2</v>
      </c>
      <c r="N134" s="18"/>
      <c r="O134" s="76">
        <f>10*LOG10((10^((100+10*LOG10(1/(4*PI()*(3+J134/2)^2)))/10)+10^((100-3+10*LOG10(1/(4*PI()*(3+J134/2)^2)))/10))/10^((100+10*LOG10(4*(1+L134/10)/(0.16*(2000+K134*100))))/10))</f>
        <v>-6.3069984857455523</v>
      </c>
      <c r="P134" s="7">
        <f>IF(N134="",0,IF(EXACT(RIGHT(N134,2),"dB"),IF(ABS(VALUE(LEFT(N134,FIND(" ",N134,1)))-O134)&lt;=0.5,1,-1),-1))</f>
        <v>0</v>
      </c>
      <c r="Q134" s="18"/>
      <c r="R134" s="35">
        <f>(10^((100-3+10*LOG10(1/(4*PI()*(3+J134/2)^2)))/10)*COS((90-(30+L134*6))/180*PI()))/(10^((100+10*LOG10(1/(4*PI()*(3+J134/2)^2)))/10)+10^((100-3+10*LOG10(1/(4*PI()*(3+J134/2)^2)))/10))</f>
        <v>0.16693028770843893</v>
      </c>
      <c r="S134" s="7">
        <f>IF(Q134="",0,IF(ABS(VALUE(Q134)-R134)&lt;=0.05,1,-1))</f>
        <v>0</v>
      </c>
      <c r="T134" s="18"/>
      <c r="U134" s="76">
        <f>10*LOG10(10^((100+10*LOG10(1/(4*PI()*(3+J134/2)^2)))/10)+10^((100-3+10*LOG10(1/(4*PI()*(3+J134/2)^2)))/10)+10^((100+10*LOG10(4*(1+L134/10)/(0.16*(2000+K134*100))))/10))-100+31</f>
        <v>12.090599123552934</v>
      </c>
      <c r="V134" s="7">
        <f>IF(T134="",0,IF(EXACT(RIGHT(T134,2),"dB"),IF(ABS(VALUE(LEFT(T134,FIND(" ",T134,1)))-U134)&lt;=0.5,1,-1),-1))</f>
        <v>0</v>
      </c>
      <c r="W134" s="58">
        <v>0.44400000000000001</v>
      </c>
      <c r="X134" s="35">
        <f>(0.5+L134/20)/(1+10^(-(5+K134)/10))</f>
        <v>0.44409211511094154</v>
      </c>
      <c r="Y134" s="7">
        <f>IF(W134="",0,IF(ABS(VALUE(W134)-X134)&lt;=0.05,1,-1))</f>
        <v>1</v>
      </c>
      <c r="Z134" s="34" t="s">
        <v>769</v>
      </c>
      <c r="AA134" s="76">
        <f>10*LOG10(1+((100+K134*10+L134)*(0.5+J134/20))/((0.1+J134/100)*(6*(5+L134/2)^2)))</f>
        <v>7.5332766665861151</v>
      </c>
      <c r="AB134" s="7">
        <f>IF(Z134="",0,IF(EXACT(RIGHT(Z134,2),"dB"),IF(ABS(VALUE(LEFT(Z134,FIND(" ",Z134,1)))-AA134)&lt;=0.5,1,-1),-1))</f>
        <v>-1</v>
      </c>
      <c r="AC134" s="34">
        <v>0.4</v>
      </c>
      <c r="AD134" s="35">
        <f>0.3+L134/30+0.1</f>
        <v>0.4</v>
      </c>
      <c r="AE134" s="7">
        <f>IF(AC134="",0,IF(ABS(VALUE(AC134)-AD134)&lt;=0.05,1,-1))</f>
        <v>1</v>
      </c>
      <c r="AF134" s="34">
        <v>0.6</v>
      </c>
      <c r="AG134" s="35">
        <f>1-AD134</f>
        <v>0.6</v>
      </c>
      <c r="AH134" s="7">
        <f>IF(AF134="",0,IF(ABS(VALUE(AF134)-AG134)&lt;=0.05,1,-1))</f>
        <v>1</v>
      </c>
      <c r="AI134" s="34" t="s">
        <v>768</v>
      </c>
      <c r="AJ134" s="76">
        <f>-10*LOG10(1-(0.3+K134/20))</f>
        <v>3.0102999566398121</v>
      </c>
      <c r="AK134" s="7">
        <f>IF(AI134="",0,IF(EXACT(RIGHT(AI134,2),"dB"),IF(ABS(ABS(VALUE(LEFT(AI134,FIND(" ",AI134,1))))-AJ134)&lt;=0.5,1,-1),-1))</f>
        <v>-1</v>
      </c>
      <c r="AL134" s="34">
        <v>0.96</v>
      </c>
      <c r="AM134" s="35">
        <f>((0.16*(200+K134*10+L134)/(2+K134/10))-0.16*(200+K134*10+L134)/(6+L134/10))/10</f>
        <v>0.96000000000000019</v>
      </c>
      <c r="AN134" s="7">
        <f>IF(AL134="",0,IF(ABS(VALUE(AL134)-AM134)&lt;=0.05,1,-1))</f>
        <v>1</v>
      </c>
      <c r="AO134" s="34" t="s">
        <v>770</v>
      </c>
      <c r="AP134" s="35">
        <f>((0.16*(200+K134*10+L134)/(2+K134/10))-0.16*(200+K134*10+L134)/(6+L134/10))/(10+J134)</f>
        <v>0.53333333333333344</v>
      </c>
      <c r="AQ134" s="7">
        <f>IF(AO134="",0,IF(EXACT(RIGHT(AO134,2),"m2"),IF(ABS(VALUE(LEFT(AO134,FIND(" ",AO134,1)))-AP134)&lt;=0.05,1,-1),-1))</f>
        <v>1</v>
      </c>
      <c r="AR134" s="48">
        <f>M134+P134+S134+V134+Y134+AB134+AE134+AH134+AK134+AN134+AQ134</f>
        <v>5</v>
      </c>
    </row>
    <row r="135" spans="1:44" ht="12.75" x14ac:dyDescent="0.2">
      <c r="A135" s="32">
        <v>133</v>
      </c>
      <c r="B135" s="33">
        <v>41950.771466064813</v>
      </c>
      <c r="C135" s="34" t="s">
        <v>771</v>
      </c>
      <c r="D135" s="34" t="s">
        <v>772</v>
      </c>
      <c r="E135" s="17">
        <v>239515</v>
      </c>
      <c r="F135" s="6">
        <v>1</v>
      </c>
      <c r="G135" s="6">
        <f>INT(E135/100000)</f>
        <v>2</v>
      </c>
      <c r="H135" s="6">
        <f>INT(($E135-100000*G135)/10000)</f>
        <v>3</v>
      </c>
      <c r="I135" s="6">
        <f>INT(($E135-100000*G135-10000*H135)/1000)</f>
        <v>9</v>
      </c>
      <c r="J135" s="6">
        <f>INT(($E135-100000*$G135-10000*$H135-1000*$I135)/100)</f>
        <v>5</v>
      </c>
      <c r="K135" s="6">
        <f>INT(($E135-100000*$G135-10000*$H135-1000*$I135-100*$J135)/10)</f>
        <v>1</v>
      </c>
      <c r="L135" s="6">
        <f>INT(($E135-100000*$G135-10000*$H135-1000*$I135-100*$J135-10*$K135))</f>
        <v>5</v>
      </c>
      <c r="M135" s="7">
        <v>2</v>
      </c>
      <c r="N135" s="18"/>
      <c r="O135" s="76">
        <f>10*LOG10((10^((100+10*LOG10(1/(4*PI()*(3+J135/2)^2)))/10)+10^((100-3+10*LOG10(1/(4*PI()*(3+J135/2)^2)))/10))/10^((100+10*LOG10(4*(1+L135/10)/(0.16*(2000+K135*100))))/10))</f>
        <v>-6.5531235356789699</v>
      </c>
      <c r="P135" s="7">
        <f>IF(N135="",0,IF(EXACT(RIGHT(N135,2),"dB"),IF(ABS(VALUE(LEFT(N135,FIND(" ",N135,1)))-O135)&lt;=0.5,1,-1),-1))</f>
        <v>0</v>
      </c>
      <c r="Q135" s="18"/>
      <c r="R135" s="35">
        <f>(10^((100-3+10*LOG10(1/(4*PI()*(3+J135/2)^2)))/10)*COS((90-(30+L135*6))/180*PI()))/(10^((100+10*LOG10(1/(4*PI()*(3+J135/2)^2)))/10)+10^((100-3+10*LOG10(1/(4*PI()*(3+J135/2)^2)))/10))</f>
        <v>0.28913173963310662</v>
      </c>
      <c r="S135" s="7">
        <f>IF(Q135="",0,IF(ABS(VALUE(Q135)-R135)&lt;=0.05,1,-1))</f>
        <v>0</v>
      </c>
      <c r="T135" s="18"/>
      <c r="U135" s="76">
        <f>10*LOG10(10^((100+10*LOG10(1/(4*PI()*(3+J135/2)^2)))/10)+10^((100-3+10*LOG10(1/(4*PI()*(3+J135/2)^2)))/10)+10^((100+10*LOG10(4*(1+L135/10)/(0.16*(2000+K135*100))))/10))-100+31</f>
        <v>14.385811140558843</v>
      </c>
      <c r="V135" s="7">
        <f>IF(T135="",0,IF(EXACT(RIGHT(T135,2),"dB"),IF(ABS(VALUE(LEFT(T135,FIND(" ",T135,1)))-U135)&lt;=0.5,1,-1),-1))</f>
        <v>0</v>
      </c>
      <c r="W135" s="58">
        <v>0.4073</v>
      </c>
      <c r="X135" s="35">
        <f>(0.5+L135/20)/(1+10^(-(5+K135)/10))</f>
        <v>0.59942999331517366</v>
      </c>
      <c r="Y135" s="7">
        <f>IF(W135="",0,IF(ABS(VALUE(W135)-X135)&lt;=0.05,1,-1))</f>
        <v>-1</v>
      </c>
      <c r="Z135" s="34" t="s">
        <v>774</v>
      </c>
      <c r="AA135" s="76">
        <f>10*LOG10(1+((100+K135*10+L135)*(0.5+J135/20))/((0.1+J135/100)*(6*(5+L135/2)^2)))</f>
        <v>4.3195909596146853</v>
      </c>
      <c r="AB135" s="7">
        <f>IF(Z135="",0,IF(EXACT(RIGHT(Z135,2),"dB"),IF(ABS(VALUE(LEFT(Z135,FIND(" ",Z135,1)))-AA135)&lt;=0.5,1,-1),-1))</f>
        <v>1</v>
      </c>
      <c r="AC135" s="34">
        <v>0.56659999999999999</v>
      </c>
      <c r="AD135" s="35">
        <f>0.3+L135/30+0.1</f>
        <v>0.56666666666666665</v>
      </c>
      <c r="AE135" s="7">
        <f>IF(AC135="",0,IF(ABS(VALUE(AC135)-AD135)&lt;=0.05,1,-1))</f>
        <v>1</v>
      </c>
      <c r="AF135" s="34">
        <v>0.43330000000000002</v>
      </c>
      <c r="AG135" s="35">
        <f>1-AD135</f>
        <v>0.43333333333333335</v>
      </c>
      <c r="AH135" s="7">
        <f>IF(AF135="",0,IF(ABS(VALUE(AF135)-AG135)&lt;=0.05,1,-1))</f>
        <v>1</v>
      </c>
      <c r="AI135" s="73" t="s">
        <v>773</v>
      </c>
      <c r="AJ135" s="76">
        <f>-10*LOG10(1-(0.3+K135/20))</f>
        <v>1.8708664335714442</v>
      </c>
      <c r="AK135" s="7">
        <f>IF(AI135="",0,IF(EXACT(RIGHT(AI135,2),"dB"),IF(ABS(ABS(VALUE(LEFT(AI135,FIND(" ",AI135,1))))-AJ135)&lt;=0.5,1,-1),-1))</f>
        <v>-1</v>
      </c>
      <c r="AL135" s="34">
        <v>1.1089</v>
      </c>
      <c r="AM135" s="35">
        <f>((0.16*(200+K135*10+L135)/(2+K135/10))-0.16*(200+K135*10+L135)/(6+L135/10))/10</f>
        <v>1.1088644688644689</v>
      </c>
      <c r="AN135" s="7">
        <f>IF(AL135="",0,IF(ABS(VALUE(AL135)-AM135)&lt;=0.05,1,-1))</f>
        <v>1</v>
      </c>
      <c r="AO135" s="34" t="s">
        <v>775</v>
      </c>
      <c r="AP135" s="35">
        <f>((0.16*(200+K135*10+L135)/(2+K135/10))-0.16*(200+K135*10+L135)/(6+L135/10))/(10+J135)</f>
        <v>0.73924297924297921</v>
      </c>
      <c r="AQ135" s="7">
        <f>IF(AO135="",0,IF(EXACT(RIGHT(AO135,2),"m2"),IF(ABS(VALUE(LEFT(AO135,FIND(" ",AO135,1)))-AP135)&lt;=0.05,1,-1),-1))</f>
        <v>1</v>
      </c>
      <c r="AR135" s="48">
        <f>M135+P135+S135+V135+Y135+AB135+AE135+AH135+AK135+AN135+AQ135</f>
        <v>5</v>
      </c>
    </row>
    <row r="136" spans="1:44" ht="12.75" x14ac:dyDescent="0.2">
      <c r="A136" s="32">
        <v>134</v>
      </c>
      <c r="B136" s="33">
        <v>41950.771468321756</v>
      </c>
      <c r="C136" s="34" t="s">
        <v>776</v>
      </c>
      <c r="D136" s="34" t="s">
        <v>777</v>
      </c>
      <c r="E136" s="17">
        <v>242667</v>
      </c>
      <c r="F136" s="6">
        <v>1</v>
      </c>
      <c r="G136" s="6">
        <f>INT(E136/100000)</f>
        <v>2</v>
      </c>
      <c r="H136" s="6">
        <f>INT(($E136-100000*G136)/10000)</f>
        <v>4</v>
      </c>
      <c r="I136" s="6">
        <f>INT(($E136-100000*G136-10000*H136)/1000)</f>
        <v>2</v>
      </c>
      <c r="J136" s="6">
        <f>INT(($E136-100000*$G136-10000*$H136-1000*$I136)/100)</f>
        <v>6</v>
      </c>
      <c r="K136" s="6">
        <f>INT(($E136-100000*$G136-10000*$H136-1000*$I136-100*$J136)/10)</f>
        <v>6</v>
      </c>
      <c r="L136" s="6">
        <f>INT(($E136-100000*$G136-10000*$H136-1000*$I136-100*$J136-10*$K136))</f>
        <v>7</v>
      </c>
      <c r="M136" s="7">
        <v>2</v>
      </c>
      <c r="N136" s="18"/>
      <c r="O136" s="76">
        <f>10*LOG10((10^((100+10*LOG10(1/(4*PI()*(3+J136/2)^2)))/10)+10^((100-3+10*LOG10(1/(4*PI()*(3+J136/2)^2)))/10))/10^((100+10*LOG10(4*(1+L136/10)/(0.16*(2000+K136*100))))/10))</f>
        <v>-6.9249308443239288</v>
      </c>
      <c r="P136" s="7">
        <f>IF(N136="",0,IF(EXACT(RIGHT(N136,2),"dB"),IF(ABS(VALUE(LEFT(N136,FIND(" ",N136,1)))-O136)&lt;=0.5,1,-1),-1))</f>
        <v>0</v>
      </c>
      <c r="Q136" s="18"/>
      <c r="R136" s="35">
        <f>(10^((100-3+10*LOG10(1/(4*PI()*(3+J136/2)^2)))/10)*COS((90-(30+L136*6))/180*PI()))/(10^((100+10*LOG10(1/(4*PI()*(3+J136/2)^2)))/10)+10^((100-3+10*LOG10(1/(4*PI()*(3+J136/2)^2)))/10))</f>
        <v>0.31752027578427189</v>
      </c>
      <c r="S136" s="7">
        <f>IF(Q136="",0,IF(ABS(VALUE(Q136)-R136)&lt;=0.05,1,-1))</f>
        <v>0</v>
      </c>
      <c r="T136" s="18"/>
      <c r="U136" s="76">
        <f>10*LOG10(10^((100+10*LOG10(1/(4*PI()*(3+J136/2)^2)))/10)+10^((100-3+10*LOG10(1/(4*PI()*(3+J136/2)^2)))/10)+10^((100+10*LOG10(4*(1+L136/10)/(0.16*(2000+K136*100))))/10))-100+31</f>
        <v>13.936830449861134</v>
      </c>
      <c r="V136" s="7">
        <f>IF(T136="",0,IF(EXACT(RIGHT(T136,2),"dB"),IF(ABS(VALUE(LEFT(T136,FIND(" ",T136,1)))-U136)&lt;=0.5,1,-1),-1))</f>
        <v>0</v>
      </c>
      <c r="W136" s="58">
        <v>0.78700000000000003</v>
      </c>
      <c r="X136" s="35">
        <f>(0.5+L136/20)/(1+10^(-(5+K136)/10))</f>
        <v>0.7874505773000624</v>
      </c>
      <c r="Y136" s="7">
        <f>IF(W136="",0,IF(ABS(VALUE(W136)-X136)&lt;=0.05,1,-1))</f>
        <v>1</v>
      </c>
      <c r="Z136" s="34" t="s">
        <v>779</v>
      </c>
      <c r="AA136" s="76">
        <f>10*LOG10(1+((100+K136*10+L136)*(0.5+J136/20))/((0.1+J136/100)*(6*(5+L136/2)^2)))</f>
        <v>4.6630136974552041</v>
      </c>
      <c r="AB136" s="7">
        <f>IF(Z136="",0,IF(EXACT(RIGHT(Z136,2),"dB"),IF(ABS(VALUE(LEFT(Z136,FIND(" ",Z136,1)))-AA136)&lt;=0.5,1,-1),-1))</f>
        <v>-1</v>
      </c>
      <c r="AC136" s="34">
        <v>0.63</v>
      </c>
      <c r="AD136" s="35">
        <f>0.3+L136/30+0.1</f>
        <v>0.6333333333333333</v>
      </c>
      <c r="AE136" s="7">
        <f>IF(AC136="",0,IF(ABS(VALUE(AC136)-AD136)&lt;=0.05,1,-1))</f>
        <v>1</v>
      </c>
      <c r="AF136" s="34">
        <v>0.36</v>
      </c>
      <c r="AG136" s="35">
        <f>1-AD136</f>
        <v>0.3666666666666667</v>
      </c>
      <c r="AH136" s="7">
        <f>IF(AF136="",0,IF(ABS(VALUE(AF136)-AG136)&lt;=0.05,1,-1))</f>
        <v>1</v>
      </c>
      <c r="AI136" s="34" t="s">
        <v>778</v>
      </c>
      <c r="AJ136" s="76">
        <f>-10*LOG10(1-(0.3+K136/20))</f>
        <v>3.9794000867203758</v>
      </c>
      <c r="AK136" s="7">
        <f>IF(AI136="",0,IF(EXACT(RIGHT(AI136,2),"dB"),IF(ABS(ABS(VALUE(LEFT(AI136,FIND(" ",AI136,1))))-AJ136)&lt;=0.5,1,-1),-1))</f>
        <v>-1</v>
      </c>
      <c r="AL136" s="34">
        <v>1</v>
      </c>
      <c r="AM136" s="35">
        <f>((0.16*(200+K136*10+L136)/(2+K136/10))-0.16*(200+K136*10+L136)/(6+L136/10))/10</f>
        <v>1.0054649827784155</v>
      </c>
      <c r="AN136" s="7">
        <f>IF(AL136="",0,IF(ABS(VALUE(AL136)-AM136)&lt;=0.05,1,-1))</f>
        <v>1</v>
      </c>
      <c r="AO136" s="34" t="s">
        <v>780</v>
      </c>
      <c r="AP136" s="35">
        <f>((0.16*(200+K136*10+L136)/(2+K136/10))-0.16*(200+K136*10+L136)/(6+L136/10))/(10+J136)</f>
        <v>0.62841561423650971</v>
      </c>
      <c r="AQ136" s="7">
        <f>IF(AO136="",0,IF(EXACT(RIGHT(AO136,2),"m2"),IF(ABS(VALUE(LEFT(AO136,FIND(" ",AO136,1)))-AP136)&lt;=0.05,1,-1),-1))</f>
        <v>1</v>
      </c>
      <c r="AR136" s="48">
        <f>M136+P136+S136+V136+Y136+AB136+AE136+AH136+AK136+AN136+AQ136</f>
        <v>5</v>
      </c>
    </row>
    <row r="137" spans="1:44" ht="12.75" x14ac:dyDescent="0.2">
      <c r="A137" s="32">
        <v>135</v>
      </c>
      <c r="B137" s="33">
        <v>41950.772740520835</v>
      </c>
      <c r="C137" s="34" t="s">
        <v>834</v>
      </c>
      <c r="D137" s="34" t="s">
        <v>835</v>
      </c>
      <c r="E137" s="17">
        <v>239568</v>
      </c>
      <c r="F137" s="6">
        <v>1</v>
      </c>
      <c r="G137" s="6">
        <f>INT(E137/100000)</f>
        <v>2</v>
      </c>
      <c r="H137" s="6">
        <f>INT(($E137-100000*G137)/10000)</f>
        <v>3</v>
      </c>
      <c r="I137" s="6">
        <f>INT(($E137-100000*G137-10000*H137)/1000)</f>
        <v>9</v>
      </c>
      <c r="J137" s="6">
        <f>INT(($E137-100000*$G137-10000*$H137-1000*$I137)/100)</f>
        <v>5</v>
      </c>
      <c r="K137" s="6">
        <f>INT(($E137-100000*$G137-10000*$H137-1000*$I137-100*$J137)/10)</f>
        <v>6</v>
      </c>
      <c r="L137" s="6">
        <f>INT(($E137-100000*$G137-10000*$H137-1000*$I137-100*$J137-10*$K137))</f>
        <v>8</v>
      </c>
      <c r="M137" s="7">
        <v>2</v>
      </c>
      <c r="N137" s="18"/>
      <c r="O137" s="76">
        <f>10*LOG10((10^((100+10*LOG10(1/(4*PI()*(3+J137/2)^2)))/10)+10^((100-3+10*LOG10(1/(4*PI()*(3+J137/2)^2)))/10))/10^((100+10*LOG10(4*(1+L137/10)/(0.16*(2000+K137*100))))/10))</f>
        <v>-6.4173954637862396</v>
      </c>
      <c r="P137" s="7">
        <f>IF(N137="",0,IF(EXACT(RIGHT(N137,2),"dB"),IF(ABS(VALUE(LEFT(N137,FIND(" ",N137,1)))-O137)&lt;=0.5,1,-1),-1))</f>
        <v>0</v>
      </c>
      <c r="Q137" s="18"/>
      <c r="R137" s="35">
        <f>(10^((100-3+10*LOG10(1/(4*PI()*(3+J137/2)^2)))/10)*COS((90-(30+L137*6))/180*PI()))/(10^((100+10*LOG10(1/(4*PI()*(3+J137/2)^2)))/10)+10^((100-3+10*LOG10(1/(4*PI()*(3+J137/2)^2)))/10))</f>
        <v>0.32656492082362676</v>
      </c>
      <c r="S137" s="7">
        <f>IF(Q137="",0,IF(ABS(VALUE(Q137)-R137)&lt;=0.05,1,-1))</f>
        <v>0</v>
      </c>
      <c r="T137" s="18"/>
      <c r="U137" s="76">
        <f>10*LOG10(10^((100+10*LOG10(1/(4*PI()*(3+J137/2)^2)))/10)+10^((100-3+10*LOG10(1/(4*PI()*(3+J137/2)^2)))/10)+10^((100+10*LOG10(4*(1+L137/10)/(0.16*(2000+K137*100))))/10))-100+31</f>
        <v>14.274980057169017</v>
      </c>
      <c r="V137" s="7">
        <f>IF(T137="",0,IF(EXACT(RIGHT(T137,2),"dB"),IF(ABS(VALUE(LEFT(T137,FIND(" ",T137,1)))-U137)&lt;=0.5,1,-1),-1))</f>
        <v>0</v>
      </c>
      <c r="W137" s="59" t="s">
        <v>836</v>
      </c>
      <c r="X137" s="35">
        <f>(0.5+L137/20)/(1+10^(-(5+K137)/10))</f>
        <v>0.83377119949418377</v>
      </c>
      <c r="Y137" s="7">
        <v>-1</v>
      </c>
      <c r="Z137" s="18"/>
      <c r="AA137" s="76">
        <f>10*LOG10(1+((100+K137*10+L137)*(0.5+J137/20))/((0.1+J137/100)*(6*(5+L137/2)^2)))</f>
        <v>4.3590725480646091</v>
      </c>
      <c r="AB137" s="7">
        <f>IF(Z137="",0,IF(EXACT(RIGHT(Z137,2),"dB"),IF(ABS(VALUE(LEFT(Z137,FIND(" ",Z137,1)))-AA137)&lt;=0.5,1,-1),-1))</f>
        <v>0</v>
      </c>
      <c r="AC137" s="34">
        <v>0.66669999999999996</v>
      </c>
      <c r="AD137" s="35">
        <f>0.3+L137/30+0.1</f>
        <v>0.66666666666666663</v>
      </c>
      <c r="AE137" s="7">
        <f>IF(AC137="",0,IF(ABS(VALUE(AC137)-AD137)&lt;=0.05,1,-1))</f>
        <v>1</v>
      </c>
      <c r="AF137" s="34">
        <v>0.33300000000000002</v>
      </c>
      <c r="AG137" s="35">
        <f>1-AD137</f>
        <v>0.33333333333333337</v>
      </c>
      <c r="AH137" s="7">
        <f>IF(AF137="",0,IF(ABS(VALUE(AF137)-AG137)&lt;=0.05,1,-1))</f>
        <v>1</v>
      </c>
      <c r="AI137" s="18"/>
      <c r="AJ137" s="76">
        <f>-10*LOG10(1-(0.3+K137/20))</f>
        <v>3.9794000867203758</v>
      </c>
      <c r="AK137" s="7">
        <f>IF(AI137="",0,IF(EXACT(RIGHT(AI137,2),"dB"),IF(ABS(ABS(VALUE(LEFT(AI137,FIND(" ",AI137,1))))-AJ137)&lt;=0.5,1,-1),-1))</f>
        <v>0</v>
      </c>
      <c r="AL137" s="34">
        <v>1.0185999999999999</v>
      </c>
      <c r="AM137" s="35">
        <f>((0.16*(200+K137*10+L137)/(2+K137/10))-0.16*(200+K137*10+L137)/(6+L137/10))/10</f>
        <v>1.0186425339366516</v>
      </c>
      <c r="AN137" s="7">
        <f>IF(AL137="",0,IF(ABS(VALUE(AL137)-AM137)&lt;=0.05,1,-1))</f>
        <v>1</v>
      </c>
      <c r="AO137" s="34" t="s">
        <v>1038</v>
      </c>
      <c r="AP137" s="35">
        <f>((0.16*(200+K137*10+L137)/(2+K137/10))-0.16*(200+K137*10+L137)/(6+L137/10))/(10+J137)</f>
        <v>0.67909502262443444</v>
      </c>
      <c r="AQ137" s="7">
        <f>IF(AO137="",0,IF(EXACT(RIGHT(AO137,2),"m2"),IF(ABS(VALUE(LEFT(AO137,FIND(" ",AO137,1)))-AP137)&lt;=0.05,1,-1),-1))</f>
        <v>1</v>
      </c>
      <c r="AR137" s="48">
        <f>M137+P137+S137+V137+Y137+AB137+AE137+AH137+AK137+AN137+AQ137</f>
        <v>5</v>
      </c>
    </row>
    <row r="138" spans="1:44" ht="12.75" x14ac:dyDescent="0.2">
      <c r="A138" s="32">
        <v>136</v>
      </c>
      <c r="B138" s="33">
        <v>41950.772773101853</v>
      </c>
      <c r="C138" s="34" t="s">
        <v>842</v>
      </c>
      <c r="D138" s="34" t="s">
        <v>843</v>
      </c>
      <c r="E138" s="17">
        <v>240575</v>
      </c>
      <c r="F138" s="6">
        <v>1</v>
      </c>
      <c r="G138" s="6">
        <f>INT(E138/100000)</f>
        <v>2</v>
      </c>
      <c r="H138" s="6">
        <f>INT(($E138-100000*G138)/10000)</f>
        <v>4</v>
      </c>
      <c r="I138" s="6">
        <f>INT(($E138-100000*G138-10000*H138)/1000)</f>
        <v>0</v>
      </c>
      <c r="J138" s="6">
        <f>INT(($E138-100000*$G138-10000*$H138-1000*$I138)/100)</f>
        <v>5</v>
      </c>
      <c r="K138" s="6">
        <f>INT(($E138-100000*$G138-10000*$H138-1000*$I138-100*$J138)/10)</f>
        <v>7</v>
      </c>
      <c r="L138" s="6">
        <f>INT(($E138-100000*$G138-10000*$H138-1000*$I138-100*$J138-10*$K138))</f>
        <v>5</v>
      </c>
      <c r="M138" s="7">
        <v>2</v>
      </c>
      <c r="N138" s="18"/>
      <c r="O138" s="76">
        <f>10*LOG10((10^((100+10*LOG10(1/(4*PI()*(3+J138/2)^2)))/10)+10^((100-3+10*LOG10(1/(4*PI()*(3+J138/2)^2)))/10))/10^((100+10*LOG10(4*(1+L138/10)/(0.16*(2000+K138*100))))/10))</f>
        <v>-5.4616788414282871</v>
      </c>
      <c r="P138" s="7">
        <f>IF(N138="",0,IF(EXACT(RIGHT(N138,2),"dB"),IF(ABS(VALUE(LEFT(N138,FIND(" ",N138,1)))-O138)&lt;=0.5,1,-1),-1))</f>
        <v>0</v>
      </c>
      <c r="Q138" s="18"/>
      <c r="R138" s="35">
        <f>(10^((100-3+10*LOG10(1/(4*PI()*(3+J138/2)^2)))/10)*COS((90-(30+L138*6))/180*PI()))/(10^((100+10*LOG10(1/(4*PI()*(3+J138/2)^2)))/10)+10^((100-3+10*LOG10(1/(4*PI()*(3+J138/2)^2)))/10))</f>
        <v>0.28913173963310662</v>
      </c>
      <c r="S138" s="7">
        <f>IF(Q138="",0,IF(ABS(VALUE(Q138)-R138)&lt;=0.05,1,-1))</f>
        <v>0</v>
      </c>
      <c r="T138" s="18"/>
      <c r="U138" s="76">
        <f>10*LOG10(10^((100+10*LOG10(1/(4*PI()*(3+J138/2)^2)))/10)+10^((100-3+10*LOG10(1/(4*PI()*(3+J138/2)^2)))/10)+10^((100+10*LOG10(4*(1+L138/10)/(0.16*(2000+K138*100))))/10))-100+31</f>
        <v>13.513462185499847</v>
      </c>
      <c r="V138" s="7">
        <f>IF(T138="",0,IF(EXACT(RIGHT(T138,2),"dB"),IF(ABS(VALUE(LEFT(T138,FIND(" ",T138,1)))-U138)&lt;=0.5,1,-1),-1))</f>
        <v>0</v>
      </c>
      <c r="W138" s="58">
        <v>0.70548699999999998</v>
      </c>
      <c r="X138" s="35">
        <f>(0.5+L138/20)/(1+10^(-(5+K138)/10))</f>
        <v>0.70548679267292425</v>
      </c>
      <c r="Y138" s="7">
        <f>IF(W138="",0,IF(ABS(VALUE(W138)-X138)&lt;=0.05,1,-1))</f>
        <v>1</v>
      </c>
      <c r="Z138" s="36" t="s">
        <v>845</v>
      </c>
      <c r="AA138" s="76">
        <f>10*LOG10(1+((100+K138*10+L138)*(0.5+J138/20))/((0.1+J138/100)*(6*(5+L138/2)^2)))</f>
        <v>5.5540797010725749</v>
      </c>
      <c r="AB138" s="7">
        <f>IF(Z138="",0,IF(EXACT(RIGHT(Z138,2),"dB"),IF(ABS(VALUE(LEFT(Z138,FIND(" ",Z138,1)))-AA138)&lt;=0.5,1,-1),-1))</f>
        <v>-1</v>
      </c>
      <c r="AC138" s="34">
        <v>0.56666669999999997</v>
      </c>
      <c r="AD138" s="35">
        <f>0.3+L138/30+0.1</f>
        <v>0.56666666666666665</v>
      </c>
      <c r="AE138" s="7">
        <f>IF(AC138="",0,IF(ABS(VALUE(AC138)-AD138)&lt;=0.05,1,-1))</f>
        <v>1</v>
      </c>
      <c r="AF138" s="34">
        <v>0.43333300000000002</v>
      </c>
      <c r="AG138" s="35">
        <f>1-AD138</f>
        <v>0.43333333333333335</v>
      </c>
      <c r="AH138" s="7">
        <f>IF(AF138="",0,IF(ABS(VALUE(AF138)-AG138)&lt;=0.05,1,-1))</f>
        <v>1</v>
      </c>
      <c r="AI138" s="36" t="s">
        <v>844</v>
      </c>
      <c r="AJ138" s="76">
        <f>-10*LOG10(1-(0.3+K138/20))</f>
        <v>4.5593195564972424</v>
      </c>
      <c r="AK138" s="7">
        <f>IF(AI138="",0,IF(EXACT(RIGHT(AI138,2),"dB"),IF(ABS(ABS(VALUE(LEFT(AI138,FIND(" ",AI138,1))))-AJ138)&lt;=0.5,1,-1),-1))</f>
        <v>-1</v>
      </c>
      <c r="AL138" s="34">
        <v>0.95270699999999997</v>
      </c>
      <c r="AM138" s="35">
        <f>((0.16*(200+K138*10+L138)/(2+K138/10))-0.16*(200+K138*10+L138)/(6+L138/10))/10</f>
        <v>0.95270655270655236</v>
      </c>
      <c r="AN138" s="7">
        <f>IF(AL138="",0,IF(ABS(VALUE(AL138)-AM138)&lt;=0.05,1,-1))</f>
        <v>1</v>
      </c>
      <c r="AO138" s="34" t="s">
        <v>846</v>
      </c>
      <c r="AP138" s="35">
        <f>((0.16*(200+K138*10+L138)/(2+K138/10))-0.16*(200+K138*10+L138)/(6+L138/10))/(10+J138)</f>
        <v>0.63513770180436824</v>
      </c>
      <c r="AQ138" s="7">
        <f>IF(AO138="",0,IF(EXACT(RIGHT(AO138,2),"m2"),IF(ABS(VALUE(LEFT(AO138,FIND(" ",AO138,1)))-AP138)&lt;=0.05,1,-1),-1))</f>
        <v>1</v>
      </c>
      <c r="AR138" s="48">
        <f>M138+P138+S138+V138+Y138+AB138+AE138+AH138+AK138+AN138+AQ138</f>
        <v>5</v>
      </c>
    </row>
    <row r="139" spans="1:44" ht="12.75" x14ac:dyDescent="0.2">
      <c r="A139" s="32">
        <v>137</v>
      </c>
      <c r="B139" s="33">
        <v>41950.772825057873</v>
      </c>
      <c r="C139" s="34" t="s">
        <v>847</v>
      </c>
      <c r="D139" s="34" t="s">
        <v>848</v>
      </c>
      <c r="E139" s="17">
        <v>243307</v>
      </c>
      <c r="F139" s="6">
        <v>1</v>
      </c>
      <c r="G139" s="6">
        <f>INT(E139/100000)</f>
        <v>2</v>
      </c>
      <c r="H139" s="6">
        <f>INT(($E139-100000*G139)/10000)</f>
        <v>4</v>
      </c>
      <c r="I139" s="6">
        <f>INT(($E139-100000*G139-10000*H139)/1000)</f>
        <v>3</v>
      </c>
      <c r="J139" s="6">
        <f>INT(($E139-100000*$G139-10000*$H139-1000*$I139)/100)</f>
        <v>3</v>
      </c>
      <c r="K139" s="6">
        <f>INT(($E139-100000*$G139-10000*$H139-1000*$I139-100*$J139)/10)</f>
        <v>0</v>
      </c>
      <c r="L139" s="6">
        <f>INT(($E139-100000*$G139-10000*$H139-1000*$I139-100*$J139-10*$K139))</f>
        <v>7</v>
      </c>
      <c r="M139" s="7">
        <v>2</v>
      </c>
      <c r="N139" s="18"/>
      <c r="O139" s="76">
        <f>10*LOG10((10^((100+10*LOG10(1/(4*PI()*(3+J139/2)^2)))/10)+10^((100-3+10*LOG10(1/(4*PI()*(3+J139/2)^2)))/10))/10^((100+10*LOG10(4*(1+L139/10)/(0.16*(2000+K139*100))))/10))</f>
        <v>-5.5655896352262886</v>
      </c>
      <c r="P139" s="7">
        <f>IF(N139="",0,IF(EXACT(RIGHT(N139,2),"dB"),IF(ABS(VALUE(LEFT(N139,FIND(" ",N139,1)))-O139)&lt;=0.5,1,-1),-1))</f>
        <v>0</v>
      </c>
      <c r="Q139" s="18"/>
      <c r="R139" s="35">
        <f>(10^((100-3+10*LOG10(1/(4*PI()*(3+J139/2)^2)))/10)*COS((90-(30+L139*6))/180*PI()))/(10^((100+10*LOG10(1/(4*PI()*(3+J139/2)^2)))/10)+10^((100-3+10*LOG10(1/(4*PI()*(3+J139/2)^2)))/10))</f>
        <v>0.31752027578427117</v>
      </c>
      <c r="S139" s="7">
        <f>IF(Q139="",0,IF(ABS(VALUE(Q139)-R139)&lt;=0.05,1,-1))</f>
        <v>0</v>
      </c>
      <c r="T139" s="18"/>
      <c r="U139" s="76">
        <f>10*LOG10(10^((100+10*LOG10(1/(4*PI()*(3+J139/2)^2)))/10)+10^((100-3+10*LOG10(1/(4*PI()*(3+J139/2)^2)))/10)+10^((100+10*LOG10(4*(1+L139/10)/(0.16*(2000+K139*100))))/10))-100+31</f>
        <v>15.33758525409408</v>
      </c>
      <c r="V139" s="7">
        <f>IF(T139="",0,IF(EXACT(RIGHT(T139,2),"dB"),IF(ABS(VALUE(LEFT(T139,FIND(" ",T139,1)))-U139)&lt;=0.5,1,-1),-1))</f>
        <v>0</v>
      </c>
      <c r="W139" s="58">
        <v>0.64578500000000005</v>
      </c>
      <c r="X139" s="35">
        <f>(0.5+L139/20)/(1+10^(-(5+K139)/10))</f>
        <v>0.64578488765076414</v>
      </c>
      <c r="Y139" s="7">
        <f>IF(W139="",0,IF(ABS(VALUE(W139)-X139)&lt;=0.05,1,-1))</f>
        <v>1</v>
      </c>
      <c r="Z139" s="36" t="s">
        <v>850</v>
      </c>
      <c r="AA139" s="76">
        <f>10*LOG10(1+((100+K139*10+L139)*(0.5+J139/20))/((0.1+J139/100)*(6*(5+L139/2)^2)))</f>
        <v>3.4911052324290055</v>
      </c>
      <c r="AB139" s="7">
        <f>IF(Z139="",0,IF(EXACT(RIGHT(Z139,2),"dB"),IF(ABS(VALUE(LEFT(Z139,FIND(" ",Z139,1)))-AA139)&lt;=0.5,1,-1),-1))</f>
        <v>-1</v>
      </c>
      <c r="AC139" s="34">
        <v>0.63333300000000003</v>
      </c>
      <c r="AD139" s="35">
        <f>0.3+L139/30+0.1</f>
        <v>0.6333333333333333</v>
      </c>
      <c r="AE139" s="7">
        <f>IF(AC139="",0,IF(ABS(VALUE(AC139)-AD139)&lt;=0.05,1,-1))</f>
        <v>1</v>
      </c>
      <c r="AF139" s="34">
        <v>0.36666700000000002</v>
      </c>
      <c r="AG139" s="35">
        <f>1-AD139</f>
        <v>0.3666666666666667</v>
      </c>
      <c r="AH139" s="7">
        <f>IF(AF139="",0,IF(ABS(VALUE(AF139)-AG139)&lt;=0.05,1,-1))</f>
        <v>1</v>
      </c>
      <c r="AI139" s="34" t="s">
        <v>849</v>
      </c>
      <c r="AJ139" s="76">
        <f>-10*LOG10(1-(0.3+K139/20))</f>
        <v>1.5490195998574319</v>
      </c>
      <c r="AK139" s="7">
        <f>IF(AI139="",0,IF(EXACT(RIGHT(AI139,2),"dB"),IF(ABS(ABS(VALUE(LEFT(AI139,FIND(" ",AI139,1))))-AJ139)&lt;=0.5,1,-1),-1))</f>
        <v>-1</v>
      </c>
      <c r="AL139" s="34">
        <v>1.161672</v>
      </c>
      <c r="AM139" s="35">
        <f>((0.16*(200+K139*10+L139)/(2+K139/10))-0.16*(200+K139*10+L139)/(6+L139/10))/10</f>
        <v>1.1616716417910447</v>
      </c>
      <c r="AN139" s="7">
        <f>IF(AL139="",0,IF(ABS(VALUE(AL139)-AM139)&lt;=0.05,1,-1))</f>
        <v>1</v>
      </c>
      <c r="AO139" s="34" t="s">
        <v>851</v>
      </c>
      <c r="AP139" s="35">
        <f>((0.16*(200+K139*10+L139)/(2+K139/10))-0.16*(200+K139*10+L139)/(6+L139/10))/(10+J139)</f>
        <v>0.89359357060849587</v>
      </c>
      <c r="AQ139" s="7">
        <f>IF(AO139="",0,IF(EXACT(RIGHT(AO139,2),"m2"),IF(ABS(VALUE(LEFT(AO139,FIND(" ",AO139,1)))-AP139)&lt;=0.05,1,-1),-1))</f>
        <v>1</v>
      </c>
      <c r="AR139" s="48">
        <f>M139+P139+S139+V139+Y139+AB139+AE139+AH139+AK139+AN139+AQ139</f>
        <v>5</v>
      </c>
    </row>
    <row r="140" spans="1:44" ht="12.75" x14ac:dyDescent="0.2">
      <c r="A140" s="32">
        <v>138</v>
      </c>
      <c r="B140" s="33">
        <v>41950.775599004628</v>
      </c>
      <c r="C140" s="34" t="s">
        <v>899</v>
      </c>
      <c r="D140" s="34" t="s">
        <v>900</v>
      </c>
      <c r="E140" s="17">
        <v>254181</v>
      </c>
      <c r="F140" s="6">
        <v>1</v>
      </c>
      <c r="G140" s="6">
        <f>INT(E140/100000)</f>
        <v>2</v>
      </c>
      <c r="H140" s="6">
        <f>INT(($E140-100000*G140)/10000)</f>
        <v>5</v>
      </c>
      <c r="I140" s="6">
        <f>INT(($E140-100000*G140-10000*H140)/1000)</f>
        <v>4</v>
      </c>
      <c r="J140" s="6">
        <f>INT(($E140-100000*$G140-10000*$H140-1000*$I140)/100)</f>
        <v>1</v>
      </c>
      <c r="K140" s="6">
        <f>INT(($E140-100000*$G140-10000*$H140-1000*$I140-100*$J140)/10)</f>
        <v>8</v>
      </c>
      <c r="L140" s="6">
        <f>INT(($E140-100000*$G140-10000*$H140-1000*$I140-100*$J140-10*$K140))</f>
        <v>1</v>
      </c>
      <c r="M140" s="7">
        <v>2</v>
      </c>
      <c r="N140" s="34" t="s">
        <v>901</v>
      </c>
      <c r="O140" s="76">
        <f>10*LOG10((10^((100+10*LOG10(1/(4*PI()*(3+J140/2)^2)))/10)+10^((100-3+10*LOG10(1/(4*PI()*(3+J140/2)^2)))/10))/10^((100+10*LOG10(4*(1+L140/10)/(0.16*(2000+K140*100))))/10))</f>
        <v>-3.0857527742039814E-2</v>
      </c>
      <c r="P140" s="7">
        <f>IF(N140="",0,IF(EXACT(RIGHT(N140,2),"dB"),IF(ABS(VALUE(LEFT(N140,FIND(" ",N140,1)))-O140)&lt;=0.5,1,-1),-1))</f>
        <v>-1</v>
      </c>
      <c r="Q140" s="34">
        <v>0.19600000000000001</v>
      </c>
      <c r="R140" s="35">
        <f>(10^((100-3+10*LOG10(1/(4*PI()*(3+J140/2)^2)))/10)*COS((90-(30+L140*6))/180*PI()))/(10^((100+10*LOG10(1/(4*PI()*(3+J140/2)^2)))/10)+10^((100-3+10*LOG10(1/(4*PI()*(3+J140/2)^2)))/10))</f>
        <v>0.19623832255191975</v>
      </c>
      <c r="S140" s="7">
        <f>IF(Q140="",0,IF(ABS(VALUE(Q140)-R140)&lt;=0.05,1,-1))</f>
        <v>1</v>
      </c>
      <c r="T140" s="34" t="s">
        <v>902</v>
      </c>
      <c r="U140" s="76">
        <f>10*LOG10(10^((100+10*LOG10(1/(4*PI()*(3+J140/2)^2)))/10)+10^((100-3+10*LOG10(1/(4*PI()*(3+J140/2)^2)))/10)+10^((100+10*LOG10(4*(1+L140/10)/(0.16*(2000+K140*100))))/10))-100+31</f>
        <v>13.916645223737007</v>
      </c>
      <c r="V140" s="7">
        <f>IF(T140="",0,IF(EXACT(RIGHT(T140,2),"dB"),IF(ABS(VALUE(LEFT(T140,FIND(" ",T140,1)))-U140)&lt;=0.5,1,-1),-1))</f>
        <v>-1</v>
      </c>
      <c r="W140" s="58">
        <v>0.52400000000000002</v>
      </c>
      <c r="X140" s="35">
        <f>(0.5+L140/20)/(1+10^(-(5+K140)/10))</f>
        <v>0.52375030343118789</v>
      </c>
      <c r="Y140" s="7">
        <f>IF(W140="",0,IF(ABS(VALUE(W140)-X140)&lt;=0.05,1,-1))</f>
        <v>1</v>
      </c>
      <c r="Z140" s="34" t="s">
        <v>903</v>
      </c>
      <c r="AA140" s="76">
        <f>10*LOG10(1+((100+K140*10+L140)*(0.5+J140/20))/((0.1+J140/100)*(6*(5+L140/2)^2)))</f>
        <v>7.7715310128441208</v>
      </c>
      <c r="AB140" s="7">
        <f>IF(Z140="",0,IF(EXACT(RIGHT(Z140,2),"dB"),IF(ABS(VALUE(LEFT(Z140,FIND(" ",Z140,1)))-AA140)&lt;=0.5,1,-1),-1))</f>
        <v>-1</v>
      </c>
      <c r="AC140" s="34">
        <v>0.433</v>
      </c>
      <c r="AD140" s="35">
        <f>0.3+L140/30+0.1</f>
        <v>0.43333333333333335</v>
      </c>
      <c r="AE140" s="7">
        <f>IF(AC140="",0,IF(ABS(VALUE(AC140)-AD140)&lt;=0.05,1,-1))</f>
        <v>1</v>
      </c>
      <c r="AF140" s="34">
        <v>0.56699999999999995</v>
      </c>
      <c r="AG140" s="35">
        <f>1-AD140</f>
        <v>0.56666666666666665</v>
      </c>
      <c r="AH140" s="7">
        <f>IF(AF140="",0,IF(ABS(VALUE(AF140)-AG140)&lt;=0.05,1,-1))</f>
        <v>1</v>
      </c>
      <c r="AI140" s="18"/>
      <c r="AJ140" s="76">
        <f>-10*LOG10(1-(0.3+K140/20))</f>
        <v>5.2287874528033749</v>
      </c>
      <c r="AK140" s="7">
        <f>IF(AI140="",0,IF(EXACT(RIGHT(AI140,2),"dB"),IF(ABS(ABS(VALUE(LEFT(AI140,FIND(" ",AI140,1))))-AJ140)&lt;=0.5,1,-1),-1))</f>
        <v>0</v>
      </c>
      <c r="AL140" s="34">
        <v>0.86899999999999999</v>
      </c>
      <c r="AM140" s="35">
        <f>((0.16*(200+K140*10+L140)/(2+K140/10))-0.16*(200+K140*10+L140)/(6+L140/10))/10</f>
        <v>0.86866510538641672</v>
      </c>
      <c r="AN140" s="7">
        <f>IF(AL140="",0,IF(ABS(VALUE(AL140)-AM140)&lt;=0.05,1,-1))</f>
        <v>1</v>
      </c>
      <c r="AO140" s="34" t="s">
        <v>1039</v>
      </c>
      <c r="AP140" s="35">
        <f>((0.16*(200+K140*10+L140)/(2+K140/10))-0.16*(200+K140*10+L140)/(6+L140/10))/(10+J140)</f>
        <v>0.78969555035128802</v>
      </c>
      <c r="AQ140" s="7">
        <f>IF(AO140="",0,IF(EXACT(RIGHT(AO140,2),"m2"),IF(ABS(VALUE(LEFT(AO140,FIND(" ",AO140,1)))-AP140)&lt;=0.05,1,-1),-1))</f>
        <v>1</v>
      </c>
      <c r="AR140" s="48">
        <f>M140+P140+S140+V140+Y140+AB140+AE140+AH140+AK140+AN140+AQ140</f>
        <v>5</v>
      </c>
    </row>
    <row r="141" spans="1:44" ht="12.75" x14ac:dyDescent="0.2">
      <c r="A141" s="32">
        <v>139</v>
      </c>
      <c r="B141" s="33">
        <v>41950.763043252315</v>
      </c>
      <c r="C141" s="34" t="s">
        <v>107</v>
      </c>
      <c r="D141" s="34" t="s">
        <v>108</v>
      </c>
      <c r="E141" s="17">
        <v>242649</v>
      </c>
      <c r="F141" s="6">
        <v>1</v>
      </c>
      <c r="G141" s="6">
        <f>INT(E141/100000)</f>
        <v>2</v>
      </c>
      <c r="H141" s="6">
        <f>INT(($E141-100000*G141)/10000)</f>
        <v>4</v>
      </c>
      <c r="I141" s="6">
        <f>INT(($E141-100000*G141-10000*H141)/1000)</f>
        <v>2</v>
      </c>
      <c r="J141" s="6">
        <f>INT(($E141-100000*$G141-10000*$H141-1000*$I141)/100)</f>
        <v>6</v>
      </c>
      <c r="K141" s="6">
        <f>INT(($E141-100000*$G141-10000*$H141-1000*$I141-100*$J141)/10)</f>
        <v>4</v>
      </c>
      <c r="L141" s="6">
        <f>INT(($E141-100000*$G141-10000*$H141-1000*$I141-100*$J141-10*$K141))</f>
        <v>9</v>
      </c>
      <c r="M141" s="7">
        <v>2</v>
      </c>
      <c r="N141" s="18"/>
      <c r="O141" s="76">
        <f>10*LOG10((10^((100+10*LOG10(1/(4*PI()*(3+J141/2)^2)))/10)+10^((100-3+10*LOG10(1/(4*PI()*(3+J141/2)^2)))/10))/10^((100+10*LOG10(4*(1+L141/10)/(0.16*(2000+K141*100))))/10))</f>
        <v>-7.7555987026615849</v>
      </c>
      <c r="P141" s="7">
        <f>IF(N141="",0,IF(EXACT(RIGHT(N141,2),"dB"),IF(ABS(VALUE(LEFT(N141,FIND(" ",N141,1)))-O141)&lt;=0.5,1,-1),-1))</f>
        <v>0</v>
      </c>
      <c r="Q141" s="18"/>
      <c r="R141" s="35">
        <f>(10^((100-3+10*LOG10(1/(4*PI()*(3+J141/2)^2)))/10)*COS((90-(30+L141*6))/180*PI()))/(10^((100+10*LOG10(1/(4*PI()*(3+J141/2)^2)))/10)+10^((100-3+10*LOG10(1/(4*PI()*(3+J141/2)^2)))/10))</f>
        <v>0.33203165225233644</v>
      </c>
      <c r="S141" s="7">
        <f>IF(Q141="",0,IF(ABS(VALUE(Q141)-R141)&lt;=0.05,1,-1))</f>
        <v>0</v>
      </c>
      <c r="T141" s="18"/>
      <c r="U141" s="76">
        <f>10*LOG10(10^((100+10*LOG10(1/(4*PI()*(3+J141/2)^2)))/10)+10^((100-3+10*LOG10(1/(4*PI()*(3+J141/2)^2)))/10)+10^((100+10*LOG10(4*(1+L141/10)/(0.16*(2000+K141*100))))/10))-100+31</f>
        <v>14.638003027289869</v>
      </c>
      <c r="V141" s="7">
        <f>IF(T141="",0,IF(EXACT(RIGHT(T141,2),"dB"),IF(ABS(VALUE(LEFT(T141,FIND(" ",T141,1)))-U141)&lt;=0.5,1,-1),-1))</f>
        <v>0</v>
      </c>
      <c r="W141" s="58">
        <v>0.84370000000000001</v>
      </c>
      <c r="X141" s="35">
        <f>(0.5+L141/20)/(1+10^(-(5+K141)/10))</f>
        <v>0.84377501871078886</v>
      </c>
      <c r="Y141" s="7">
        <f>IF(W141="",0,IF(ABS(VALUE(W141)-X141)&lt;=0.05,1,-1))</f>
        <v>1</v>
      </c>
      <c r="Z141" s="34" t="s">
        <v>110</v>
      </c>
      <c r="AA141" s="76">
        <f>10*LOG10(1+((100+K141*10+L141)*(0.5+J141/20))/((0.1+J141/100)*(6*(5+L141/2)^2)))</f>
        <v>3.7581132958502614</v>
      </c>
      <c r="AB141" s="7">
        <f>IF(Z141="",0,IF(EXACT(RIGHT(Z141,2),"dB"),IF(ABS(VALUE(LEFT(Z141,FIND(" ",Z141,1)))-AA141)&lt;=0.5,1,-1),-1))</f>
        <v>-1</v>
      </c>
      <c r="AC141" s="34">
        <v>0.7</v>
      </c>
      <c r="AD141" s="35">
        <f>0.3+L141/30+0.1</f>
        <v>0.7</v>
      </c>
      <c r="AE141" s="7">
        <f>IF(AC141="",0,IF(ABS(VALUE(AC141)-AD141)&lt;=0.05,1,-1))</f>
        <v>1</v>
      </c>
      <c r="AF141" s="34">
        <v>0.3</v>
      </c>
      <c r="AG141" s="35">
        <f>1-AD141</f>
        <v>0.30000000000000004</v>
      </c>
      <c r="AH141" s="7">
        <f>IF(AF141="",0,IF(ABS(VALUE(AF141)-AG141)&lt;=0.05,1,-1))</f>
        <v>1</v>
      </c>
      <c r="AI141" s="73" t="s">
        <v>109</v>
      </c>
      <c r="AJ141" s="76">
        <f>-10*LOG10(1-(0.3+K141/20))</f>
        <v>3.0102999566398121</v>
      </c>
      <c r="AK141" s="7">
        <f>IF(AI141="",0,IF(EXACT(RIGHT(AI141,2),"dB"),IF(ABS(ABS(VALUE(LEFT(AI141,FIND(" ",AI141,1))))-AJ141)&lt;=0.5,1,-1),-1))</f>
        <v>1</v>
      </c>
      <c r="AL141" s="34">
        <v>1.0820000000000001</v>
      </c>
      <c r="AM141" s="35">
        <f>((0.16*(200+K141*10+L141)/(2+K141/10))-0.16*(200+K141*10+L141)/(6+L141/10))/10</f>
        <v>1.0826086956521741</v>
      </c>
      <c r="AN141" s="7">
        <f>IF(AL141="",0,IF(ABS(VALUE(AL141)-AM141)&lt;=0.05,1,-1))</f>
        <v>1</v>
      </c>
      <c r="AO141" s="36">
        <v>0.67659999999999998</v>
      </c>
      <c r="AP141" s="35">
        <f>((0.16*(200+K141*10+L141)/(2+K141/10))-0.16*(200+K141*10+L141)/(6+L141/10))/(10+J141)</f>
        <v>0.67663043478260876</v>
      </c>
      <c r="AQ141" s="7">
        <f>IF(AO141="",0,IF(EXACT(RIGHT(AO141,2),"m2"),IF(ABS(VALUE(LEFT(AO141,FIND(" ",AO141,1)))-AP141)&lt;=0.05,1,-1),-1))</f>
        <v>-1</v>
      </c>
      <c r="AR141" s="48">
        <f>M141+P141+S141+V141+Y141+AB141+AE141+AH141+AK141+AN141+AQ141</f>
        <v>5</v>
      </c>
    </row>
    <row r="142" spans="1:44" ht="12.75" x14ac:dyDescent="0.2">
      <c r="A142" s="32">
        <v>140</v>
      </c>
      <c r="B142" s="33">
        <v>41950.763632465278</v>
      </c>
      <c r="C142" s="34" t="s">
        <v>34</v>
      </c>
      <c r="D142" s="34" t="s">
        <v>35</v>
      </c>
      <c r="E142" s="17">
        <v>130589</v>
      </c>
      <c r="F142" s="6">
        <v>1</v>
      </c>
      <c r="G142" s="6">
        <f>INT(E142/100000)</f>
        <v>1</v>
      </c>
      <c r="H142" s="6">
        <f>INT(($E142-100000*G142)/10000)</f>
        <v>3</v>
      </c>
      <c r="I142" s="6">
        <f>INT(($E142-100000*G142-10000*H142)/1000)</f>
        <v>0</v>
      </c>
      <c r="J142" s="6">
        <f>INT(($E142-100000*$G142-10000*$H142-1000*$I142)/100)</f>
        <v>5</v>
      </c>
      <c r="K142" s="6">
        <f>INT(($E142-100000*$G142-10000*$H142-1000*$I142-100*$J142)/10)</f>
        <v>8</v>
      </c>
      <c r="L142" s="6">
        <f>INT(($E142-100000*$G142-10000*$H142-1000*$I142-100*$J142-10*$K142))</f>
        <v>9</v>
      </c>
      <c r="M142" s="7">
        <v>2</v>
      </c>
      <c r="N142" s="18"/>
      <c r="O142" s="76">
        <f>10*LOG10((10^((100+10*LOG10(1/(4*PI()*(3+J142/2)^2)))/10)+10^((100-3+10*LOG10(1/(4*PI()*(3+J142/2)^2)))/10))/10^((100+10*LOG10(4*(1+L142/10)/(0.16*(2000+K142*100))))/10))</f>
        <v>-6.3303595885674557</v>
      </c>
      <c r="P142" s="7">
        <f>IF(N142="",0,IF(EXACT(RIGHT(N142,2),"dB"),IF(ABS(VALUE(LEFT(N142,FIND(" ",N142,1)))-O142)&lt;=0.5,1,-1),-1))</f>
        <v>0</v>
      </c>
      <c r="Q142" s="18"/>
      <c r="R142" s="35">
        <f>(10^((100-3+10*LOG10(1/(4*PI()*(3+J142/2)^2)))/10)*COS((90-(30+L142*6))/180*PI()))/(10^((100+10*LOG10(1/(4*PI()*(3+J142/2)^2)))/10)+10^((100-3+10*LOG10(1/(4*PI()*(3+J142/2)^2)))/10))</f>
        <v>0.33203165225233566</v>
      </c>
      <c r="S142" s="7">
        <f>IF(Q142="",0,IF(ABS(VALUE(Q142)-R142)&lt;=0.05,1,-1))</f>
        <v>0</v>
      </c>
      <c r="T142" s="18"/>
      <c r="U142" s="76">
        <f>10*LOG10(10^((100+10*LOG10(1/(4*PI()*(3+J142/2)^2)))/10)+10^((100-3+10*LOG10(1/(4*PI()*(3+J142/2)^2)))/10)+10^((100+10*LOG10(4*(1+L142/10)/(0.16*(2000+K142*100))))/10))-100+31</f>
        <v>14.204246284320533</v>
      </c>
      <c r="V142" s="7">
        <f>IF(T142="",0,IF(EXACT(RIGHT(T142,2),"dB"),IF(ABS(VALUE(LEFT(T142,FIND(" ",T142,1)))-U142)&lt;=0.5,1,-1),-1))</f>
        <v>0</v>
      </c>
      <c r="W142" s="60"/>
      <c r="X142" s="35">
        <f>(0.5+L142/20)/(1+10^(-(5+K142)/10))</f>
        <v>0.90465961501750636</v>
      </c>
      <c r="Y142" s="7">
        <f>IF(W142="",0,IF(ABS(VALUE(W142)-X142)&lt;=0.05,1,-1))</f>
        <v>0</v>
      </c>
      <c r="Z142" s="18"/>
      <c r="AA142" s="76">
        <f>10*LOG10(1+((100+K142*10+L142)*(0.5+J142/20))/((0.1+J142/100)*(6*(5+L142/2)^2)))</f>
        <v>4.3856645257961731</v>
      </c>
      <c r="AB142" s="7">
        <f>IF(Z142="",0,IF(EXACT(RIGHT(Z142,2),"dB"),IF(ABS(VALUE(LEFT(Z142,FIND(" ",Z142,1)))-AA142)&lt;=0.5,1,-1),-1))</f>
        <v>0</v>
      </c>
      <c r="AC142" s="34">
        <v>0.7</v>
      </c>
      <c r="AD142" s="35">
        <f>0.3+L142/30+0.1</f>
        <v>0.7</v>
      </c>
      <c r="AE142" s="7">
        <f>IF(AC142="",0,IF(ABS(VALUE(AC142)-AD142)&lt;=0.05,1,-1))</f>
        <v>1</v>
      </c>
      <c r="AF142" s="34">
        <v>0.3</v>
      </c>
      <c r="AG142" s="35">
        <f>1-AD142</f>
        <v>0.30000000000000004</v>
      </c>
      <c r="AH142" s="7">
        <f>IF(AF142="",0,IF(ABS(VALUE(AF142)-AG142)&lt;=0.05,1,-1))</f>
        <v>1</v>
      </c>
      <c r="AI142" s="73" t="s">
        <v>36</v>
      </c>
      <c r="AJ142" s="76">
        <f>-10*LOG10(1-(0.3+K142/20))</f>
        <v>5.2287874528033749</v>
      </c>
      <c r="AK142" s="7">
        <f>IF(AI142="",0,IF(EXACT(RIGHT(AI142,2),"dB"),IF(ABS(ABS(VALUE(LEFT(AI142,FIND(" ",AI142,1))))-AJ142)&lt;=0.5,1,-1),-1))</f>
        <v>1</v>
      </c>
      <c r="AL142" s="34">
        <v>0.92359999999999998</v>
      </c>
      <c r="AM142" s="35">
        <f>((0.16*(200+K142*10+L142)/(2+K142/10))-0.16*(200+K142*10+L142)/(6+L142/10))/10</f>
        <v>0.9812836438923398</v>
      </c>
      <c r="AN142" s="7">
        <f>IF(AL142="",0,IF(ABS(VALUE(AL142)-AM142)&lt;=0.05,1,-1))</f>
        <v>-1</v>
      </c>
      <c r="AO142" s="34" t="s">
        <v>37</v>
      </c>
      <c r="AP142" s="35">
        <f>((0.16*(200+K142*10+L142)/(2+K142/10))-0.16*(200+K142*10+L142)/(6+L142/10))/(10+J142)</f>
        <v>0.65418909592822649</v>
      </c>
      <c r="AQ142" s="7">
        <f>IF(AO142="",0,IF(EXACT(RIGHT(AO142,2),"m2"),IF(ABS(VALUE(LEFT(AO142,FIND(" ",AO142,1)))-AP142)&lt;=0.05,1,-1),-1))</f>
        <v>1</v>
      </c>
      <c r="AR142" s="48">
        <f>M142+P142+S142+V142+Y142+AB142+AE142+AH142+AK142+AN142+AQ142</f>
        <v>5</v>
      </c>
    </row>
    <row r="143" spans="1:44" ht="12.75" x14ac:dyDescent="0.2">
      <c r="A143" s="32">
        <v>141</v>
      </c>
      <c r="B143" s="33">
        <v>41950.767131655099</v>
      </c>
      <c r="C143" s="34" t="s">
        <v>312</v>
      </c>
      <c r="D143" s="34" t="s">
        <v>313</v>
      </c>
      <c r="E143" s="17">
        <v>255160</v>
      </c>
      <c r="F143" s="6">
        <v>1</v>
      </c>
      <c r="G143" s="6">
        <f>INT(E143/100000)</f>
        <v>2</v>
      </c>
      <c r="H143" s="6">
        <f>INT(($E143-100000*G143)/10000)</f>
        <v>5</v>
      </c>
      <c r="I143" s="6">
        <f>INT(($E143-100000*G143-10000*H143)/1000)</f>
        <v>5</v>
      </c>
      <c r="J143" s="6">
        <f>INT(($E143-100000*$G143-10000*$H143-1000*$I143)/100)</f>
        <v>1</v>
      </c>
      <c r="K143" s="6">
        <f>INT(($E143-100000*$G143-10000*$H143-1000*$I143-100*$J143)/10)</f>
        <v>6</v>
      </c>
      <c r="L143" s="6">
        <f>INT(($E143-100000*$G143-10000*$H143-1000*$I143-100*$J143-10*$K143))</f>
        <v>0</v>
      </c>
      <c r="M143" s="7">
        <v>2</v>
      </c>
      <c r="N143" s="18"/>
      <c r="O143" s="76">
        <f>10*LOG10((10^((100+10*LOG10(1/(4*PI()*(3+J143/2)^2)))/10)+10^((100-3+10*LOG10(1/(4*PI()*(3+J143/2)^2)))/10))/10^((100+10*LOG10(4*(1+L143/10)/(0.16*(2000+K143*100))))/10))</f>
        <v>6.122249012618361E-2</v>
      </c>
      <c r="P143" s="7">
        <f>IF(N143="",0,IF(EXACT(RIGHT(N143,2),"dB"),IF(ABS(VALUE(LEFT(N143,FIND(" ",N143,1)))-O143)&lt;=0.5,1,-1),-1))</f>
        <v>0</v>
      </c>
      <c r="Q143" s="18"/>
      <c r="R143" s="35">
        <f>(10^((100-3+10*LOG10(1/(4*PI()*(3+J143/2)^2)))/10)*COS((90-(30+L143*6))/180*PI()))/(10^((100+10*LOG10(1/(4*PI()*(3+J143/2)^2)))/10)+10^((100-3+10*LOG10(1/(4*PI()*(3+J143/2)^2)))/10))</f>
        <v>0.16693028770843893</v>
      </c>
      <c r="S143" s="7">
        <f>IF(Q143="",0,IF(ABS(VALUE(Q143)-R143)&lt;=0.05,1,-1))</f>
        <v>0</v>
      </c>
      <c r="T143" s="18"/>
      <c r="U143" s="76">
        <f>10*LOG10(10^((100+10*LOG10(1/(4*PI()*(3+J143/2)^2)))/10)+10^((100-3+10*LOG10(1/(4*PI()*(3+J143/2)^2)))/10)+10^((100+10*LOG10(4*(1+L143/10)/(0.16*(2000+K143*100))))/10))-100+31</f>
        <v>13.870685689496995</v>
      </c>
      <c r="V143" s="7">
        <f>IF(T143="",0,IF(EXACT(RIGHT(T143,2),"dB"),IF(ABS(VALUE(LEFT(T143,FIND(" ",T143,1)))-U143)&lt;=0.5,1,-1),-1))</f>
        <v>0</v>
      </c>
      <c r="W143" s="58">
        <v>0.46</v>
      </c>
      <c r="X143" s="35">
        <f>(0.5+L143/20)/(1+10^(-(5+K143)/10))</f>
        <v>0.46320622194121319</v>
      </c>
      <c r="Y143" s="7">
        <f>IF(W143="",0,IF(ABS(VALUE(W143)-X143)&lt;=0.05,1,-1))</f>
        <v>1</v>
      </c>
      <c r="Z143" s="34" t="s">
        <v>315</v>
      </c>
      <c r="AA143" s="76">
        <f>10*LOG10(1+((100+K143*10+L143)*(0.5+J143/20))/((0.1+J143/100)*(6*(5+L143/2)^2)))</f>
        <v>8.0163234623316644</v>
      </c>
      <c r="AB143" s="7">
        <f>IF(Z143="",0,IF(EXACT(RIGHT(Z143,2),"dB"),IF(ABS(VALUE(LEFT(Z143,FIND(" ",Z143,1)))-AA143)&lt;=0.5,1,-1),-1))</f>
        <v>-1</v>
      </c>
      <c r="AC143" s="34">
        <v>0.4</v>
      </c>
      <c r="AD143" s="35">
        <f>0.3+L143/30+0.1</f>
        <v>0.4</v>
      </c>
      <c r="AE143" s="7">
        <f>IF(AC143="",0,IF(ABS(VALUE(AC143)-AD143)&lt;=0.05,1,-1))</f>
        <v>1</v>
      </c>
      <c r="AF143" s="34">
        <v>0.6</v>
      </c>
      <c r="AG143" s="35">
        <f>1-AD143</f>
        <v>0.6</v>
      </c>
      <c r="AH143" s="7">
        <f>IF(AF143="",0,IF(ABS(VALUE(AF143)-AG143)&lt;=0.05,1,-1))</f>
        <v>1</v>
      </c>
      <c r="AI143" s="36" t="s">
        <v>314</v>
      </c>
      <c r="AJ143" s="76">
        <f>-10*LOG10(1-(0.3+K143/20))</f>
        <v>3.9794000867203758</v>
      </c>
      <c r="AK143" s="7">
        <v>-1</v>
      </c>
      <c r="AL143" s="34">
        <v>0.90600000000000003</v>
      </c>
      <c r="AM143" s="35">
        <f>((0.16*(200+K143*10+L143)/(2+K143/10))-0.16*(200+K143*10+L143)/(6+L143/10))/10</f>
        <v>0.90666666666666662</v>
      </c>
      <c r="AN143" s="7">
        <f>IF(AL143="",0,IF(ABS(VALUE(AL143)-AM143)&lt;=0.05,1,-1))</f>
        <v>1</v>
      </c>
      <c r="AO143" s="18"/>
      <c r="AP143" s="35">
        <f>((0.16*(200+K143*10+L143)/(2+K143/10))-0.16*(200+K143*10+L143)/(6+L143/10))/(10+J143)</f>
        <v>0.82424242424242422</v>
      </c>
      <c r="AQ143" s="7">
        <f>IF(AO143="",0,IF(EXACT(RIGHT(AO143,2),"m2"),IF(ABS(VALUE(LEFT(AO143,FIND(" ",AO143,1)))-AP143)&lt;=0.05,1,-1),-1))</f>
        <v>0</v>
      </c>
      <c r="AR143" s="48">
        <f>M143+P143+S143+V143+Y143+AB143+AE143+AH143+AK143+AN143+AQ143</f>
        <v>4</v>
      </c>
    </row>
    <row r="144" spans="1:44" ht="12.75" x14ac:dyDescent="0.2">
      <c r="A144" s="32">
        <v>142</v>
      </c>
      <c r="B144" s="33">
        <v>41950.75993951389</v>
      </c>
      <c r="C144" s="34" t="s">
        <v>59</v>
      </c>
      <c r="D144" s="34" t="s">
        <v>60</v>
      </c>
      <c r="E144" s="17">
        <v>245204</v>
      </c>
      <c r="F144" s="6">
        <v>1</v>
      </c>
      <c r="G144" s="6">
        <f>INT(E144/100000)</f>
        <v>2</v>
      </c>
      <c r="H144" s="6">
        <f>INT(($E144-100000*G144)/10000)</f>
        <v>4</v>
      </c>
      <c r="I144" s="6">
        <f>INT(($E144-100000*G144-10000*H144)/1000)</f>
        <v>5</v>
      </c>
      <c r="J144" s="6">
        <f>INT(($E144-100000*$G144-10000*$H144-1000*$I144)/100)</f>
        <v>2</v>
      </c>
      <c r="K144" s="6">
        <f>INT(($E144-100000*$G144-10000*$H144-1000*$I144-100*$J144)/10)</f>
        <v>0</v>
      </c>
      <c r="L144" s="6">
        <f>INT(($E144-100000*$G144-10000*$H144-1000*$I144-100*$J144-10*$K144))</f>
        <v>4</v>
      </c>
      <c r="M144" s="7">
        <v>2</v>
      </c>
      <c r="N144" s="18"/>
      <c r="O144" s="76">
        <f>10*LOG10((10^((100+10*LOG10(1/(4*PI()*(3+J144/2)^2)))/10)+10^((100-3+10*LOG10(1/(4*PI()*(3+J144/2)^2)))/10))/10^((100+10*LOG10(4*(1+L144/10)/(0.16*(2000+K144*100))))/10))</f>
        <v>-3.6993303292783053</v>
      </c>
      <c r="P144" s="7">
        <f>IF(N144="",0,IF(EXACT(RIGHT(N144,2),"dB"),IF(ABS(VALUE(LEFT(N144,FIND(" ",N144,1)))-O144)&lt;=0.5,1,-1),-1))</f>
        <v>0</v>
      </c>
      <c r="Q144" s="18"/>
      <c r="R144" s="35">
        <f>(10^((100-3+10*LOG10(1/(4*PI()*(3+J144/2)^2)))/10)*COS((90-(30+L144*6))/180*PI()))/(10^((100+10*LOG10(1/(4*PI()*(3+J144/2)^2)))/10)+10^((100-3+10*LOG10(1/(4*PI()*(3+J144/2)^2)))/10))</f>
        <v>0.27009887926405296</v>
      </c>
      <c r="S144" s="7">
        <f>IF(Q144="",0,IF(ABS(VALUE(Q144)-R144)&lt;=0.05,1,-1))</f>
        <v>0</v>
      </c>
      <c r="T144" s="18"/>
      <c r="U144" s="76">
        <f>10*LOG10(10^((100+10*LOG10(1/(4*PI()*(3+J144/2)^2)))/10)+10^((100-3+10*LOG10(1/(4*PI()*(3+J144/2)^2)))/10)+10^((100+10*LOG10(4*(1+L144/10)/(0.16*(2000+K144*100))))/10))-100+31</f>
        <v>14.973540590622392</v>
      </c>
      <c r="V144" s="7">
        <f>IF(T144="",0,IF(EXACT(RIGHT(T144,2),"dB"),IF(ABS(VALUE(LEFT(T144,FIND(" ",T144,1)))-U144)&lt;=0.5,1,-1),-1))</f>
        <v>0</v>
      </c>
      <c r="W144" s="58">
        <v>0.53180000000000005</v>
      </c>
      <c r="X144" s="35">
        <f>(0.5+L144/20)/(1+10^(-(5+K144)/10))</f>
        <v>0.53182284865357043</v>
      </c>
      <c r="Y144" s="7">
        <f>IF(W144="",0,IF(ABS(VALUE(W144)-X144)&lt;=0.05,1,-1))</f>
        <v>1</v>
      </c>
      <c r="Z144" s="18"/>
      <c r="AA144" s="76">
        <f>10*LOG10(1+((100+K144*10+L144)*(0.5+J144/20))/((0.1+J144/100)*(6*(5+L144/2)^2)))</f>
        <v>4.4227707447704399</v>
      </c>
      <c r="AB144" s="7">
        <f>IF(Z144="",0,IF(EXACT(RIGHT(Z144,2),"dB"),IF(ABS(VALUE(LEFT(Z144,FIND(" ",Z144,1)))-AA144)&lt;=0.5,1,-1),-1))</f>
        <v>0</v>
      </c>
      <c r="AC144" s="34">
        <v>0.5</v>
      </c>
      <c r="AD144" s="35">
        <f>0.3+L144/30+0.1</f>
        <v>0.53333333333333333</v>
      </c>
      <c r="AE144" s="7">
        <f>IF(AC144="",0,IF(ABS(VALUE(AC144)-AD144)&lt;=0.05,1,-1))</f>
        <v>1</v>
      </c>
      <c r="AF144" s="36" t="s">
        <v>62</v>
      </c>
      <c r="AG144" s="35">
        <f>1-AD144</f>
        <v>0.46666666666666667</v>
      </c>
      <c r="AH144" s="7">
        <v>-1</v>
      </c>
      <c r="AI144" s="34" t="s">
        <v>61</v>
      </c>
      <c r="AJ144" s="76">
        <f>-10*LOG10(1-(0.3+K144/20))</f>
        <v>1.5490195998574319</v>
      </c>
      <c r="AK144" s="7">
        <f>IF(AI144="",0,IF(EXACT(RIGHT(AI144,2),"dB"),IF(ABS(ABS(VALUE(LEFT(AI144,FIND(" ",AI144,1))))-AJ144)&lt;=0.5,1,-1),-1))</f>
        <v>-1</v>
      </c>
      <c r="AL144" s="34">
        <v>1.1220000000000001</v>
      </c>
      <c r="AM144" s="35">
        <f>((0.16*(200+K144*10+L144)/(2+K144/10))-0.16*(200+K144*10+L144)/(6+L144/10))/10</f>
        <v>1.1220000000000001</v>
      </c>
      <c r="AN144" s="7">
        <f>IF(AL144="",0,IF(ABS(VALUE(AL144)-AM144)&lt;=0.05,1,-1))</f>
        <v>1</v>
      </c>
      <c r="AO144" s="34" t="s">
        <v>1020</v>
      </c>
      <c r="AP144" s="35">
        <f>((0.16*(200+K144*10+L144)/(2+K144/10))-0.16*(200+K144*10+L144)/(6+L144/10))/(10+J144)</f>
        <v>0.93500000000000005</v>
      </c>
      <c r="AQ144" s="7">
        <f>IF(AO144="",0,IF(EXACT(RIGHT(AO144,2),"m2"),IF(ABS(VALUE(LEFT(AO144,FIND(" ",AO144,1)))-AP144)&lt;=0.05,1,-1),-1))</f>
        <v>1</v>
      </c>
      <c r="AR144" s="48">
        <f>M144+P144+S144+V144+Y144+AB144+AE144+AH144+AK144+AN144+AQ144</f>
        <v>4</v>
      </c>
    </row>
    <row r="145" spans="1:44" ht="12.75" x14ac:dyDescent="0.2">
      <c r="A145" s="32">
        <v>143</v>
      </c>
      <c r="B145" s="33">
        <v>41950.762313275467</v>
      </c>
      <c r="C145" s="34" t="s">
        <v>98</v>
      </c>
      <c r="D145" s="34" t="s">
        <v>99</v>
      </c>
      <c r="E145" s="17">
        <v>245067</v>
      </c>
      <c r="F145" s="6">
        <v>1</v>
      </c>
      <c r="G145" s="6">
        <f>INT(E145/100000)</f>
        <v>2</v>
      </c>
      <c r="H145" s="6">
        <f>INT(($E145-100000*G145)/10000)</f>
        <v>4</v>
      </c>
      <c r="I145" s="6">
        <f>INT(($E145-100000*G145-10000*H145)/1000)</f>
        <v>5</v>
      </c>
      <c r="J145" s="6">
        <f>INT(($E145-100000*$G145-10000*$H145-1000*$I145)/100)</f>
        <v>0</v>
      </c>
      <c r="K145" s="6">
        <f>INT(($E145-100000*$G145-10000*$H145-1000*$I145-100*$J145)/10)</f>
        <v>6</v>
      </c>
      <c r="L145" s="6">
        <f>INT(($E145-100000*$G145-10000*$H145-1000*$I145-100*$J145-10*$K145))</f>
        <v>7</v>
      </c>
      <c r="M145" s="7">
        <v>2</v>
      </c>
      <c r="N145" s="18"/>
      <c r="O145" s="76">
        <f>10*LOG10((10^((100+10*LOG10(1/(4*PI()*(3+J145/2)^2)))/10)+10^((100-3+10*LOG10(1/(4*PI()*(3+J145/2)^2)))/10))/10^((100+10*LOG10(4*(1+L145/10)/(0.16*(2000+K145*100))))/10))</f>
        <v>-0.90433093104430384</v>
      </c>
      <c r="P145" s="7">
        <f>IF(N145="",0,IF(EXACT(RIGHT(N145,2),"dB"),IF(ABS(VALUE(LEFT(N145,FIND(" ",N145,1)))-O145)&lt;=0.5,1,-1),-1))</f>
        <v>0</v>
      </c>
      <c r="Q145" s="18"/>
      <c r="R145" s="35">
        <f>(10^((100-3+10*LOG10(1/(4*PI()*(3+J145/2)^2)))/10)*COS((90-(30+L145*6))/180*PI()))/(10^((100+10*LOG10(1/(4*PI()*(3+J145/2)^2)))/10)+10^((100-3+10*LOG10(1/(4*PI()*(3+J145/2)^2)))/10))</f>
        <v>0.31752027578427189</v>
      </c>
      <c r="S145" s="7">
        <f>IF(Q145="",0,IF(ABS(VALUE(Q145)-R145)&lt;=0.05,1,-1))</f>
        <v>0</v>
      </c>
      <c r="T145" s="18"/>
      <c r="U145" s="76">
        <f>10*LOG10(10^((100+10*LOG10(1/(4*PI()*(3+J145/2)^2)))/10)+10^((100-3+10*LOG10(1/(4*PI()*(3+J145/2)^2)))/10)+10^((100+10*LOG10(4*(1+L145/10)/(0.16*(2000+K145*100))))/10))-100+31</f>
        <v>15.715786499878476</v>
      </c>
      <c r="V145" s="7">
        <f>IF(T145="",0,IF(EXACT(RIGHT(T145,2),"dB"),IF(ABS(VALUE(LEFT(T145,FIND(" ",T145,1)))-U145)&lt;=0.5,1,-1),-1))</f>
        <v>0</v>
      </c>
      <c r="W145" s="58">
        <v>0.78739999999999999</v>
      </c>
      <c r="X145" s="35">
        <f>(0.5+L145/20)/(1+10^(-(5+K145)/10))</f>
        <v>0.7874505773000624</v>
      </c>
      <c r="Y145" s="7">
        <f>IF(W145="",0,IF(ABS(VALUE(W145)-X145)&lt;=0.05,1,-1))</f>
        <v>1</v>
      </c>
      <c r="Z145" s="18"/>
      <c r="AA145" s="76">
        <f>10*LOG10(1+((100+K145*10+L145)*(0.5+J145/20))/((0.1+J145/100)*(6*(5+L145/2)^2)))</f>
        <v>4.6630136974552041</v>
      </c>
      <c r="AB145" s="7">
        <f>IF(Z145="",0,IF(EXACT(RIGHT(Z145,2),"dB"),IF(ABS(VALUE(LEFT(Z145,FIND(" ",Z145,1)))-AA145)&lt;=0.5,1,-1),-1))</f>
        <v>0</v>
      </c>
      <c r="AC145" s="34">
        <v>0.24</v>
      </c>
      <c r="AD145" s="35">
        <f>0.3+L145/30+0.1</f>
        <v>0.6333333333333333</v>
      </c>
      <c r="AE145" s="7">
        <f>IF(AC145="",0,IF(ABS(VALUE(AC145)-AD145)&lt;=0.05,1,-1))</f>
        <v>-1</v>
      </c>
      <c r="AF145" s="34">
        <v>0.76</v>
      </c>
      <c r="AG145" s="35">
        <f>1-AD145</f>
        <v>0.3666666666666667</v>
      </c>
      <c r="AH145" s="7">
        <f>IF(AF145="",0,IF(ABS(VALUE(AF145)-AG145)&lt;=0.05,1,-1))</f>
        <v>-1</v>
      </c>
      <c r="AI145" s="34" t="s">
        <v>100</v>
      </c>
      <c r="AJ145" s="76">
        <f>-10*LOG10(1-(0.3+K145/20))</f>
        <v>3.9794000867203758</v>
      </c>
      <c r="AK145" s="7">
        <f>IF(AI145="",0,IF(EXACT(RIGHT(AI145,2),"dB"),IF(ABS(ABS(VALUE(LEFT(AI145,FIND(" ",AI145,1))))-AJ145)&lt;=0.5,1,-1),-1))</f>
        <v>1</v>
      </c>
      <c r="AL145" s="34">
        <v>1.0049999999999999</v>
      </c>
      <c r="AM145" s="35">
        <f>((0.16*(200+K145*10+L145)/(2+K145/10))-0.16*(200+K145*10+L145)/(6+L145/10))/10</f>
        <v>1.0054649827784155</v>
      </c>
      <c r="AN145" s="7">
        <f>IF(AL145="",0,IF(ABS(VALUE(AL145)-AM145)&lt;=0.05,1,-1))</f>
        <v>1</v>
      </c>
      <c r="AO145" s="34" t="s">
        <v>1023</v>
      </c>
      <c r="AP145" s="35">
        <f>((0.16*(200+K145*10+L145)/(2+K145/10))-0.16*(200+K145*10+L145)/(6+L145/10))/(10+J145)</f>
        <v>1.0054649827784155</v>
      </c>
      <c r="AQ145" s="7">
        <f>IF(AO145="",0,IF(EXACT(RIGHT(AO145,2),"m2"),IF(ABS(VALUE(LEFT(AO145,FIND(" ",AO145,1)))-AP145)&lt;=0.05,1,-1),-1))</f>
        <v>1</v>
      </c>
      <c r="AR145" s="48">
        <f>M145+P145+S145+V145+Y145+AB145+AE145+AH145+AK145+AN145+AQ145</f>
        <v>4</v>
      </c>
    </row>
    <row r="146" spans="1:44" ht="12.75" x14ac:dyDescent="0.2">
      <c r="A146" s="32">
        <v>144</v>
      </c>
      <c r="B146" s="33">
        <v>41950.765493726845</v>
      </c>
      <c r="C146" s="34" t="s">
        <v>163</v>
      </c>
      <c r="D146" s="34" t="s">
        <v>164</v>
      </c>
      <c r="E146" s="17">
        <v>236578</v>
      </c>
      <c r="F146" s="6">
        <v>1</v>
      </c>
      <c r="G146" s="6">
        <f>INT(E146/100000)</f>
        <v>2</v>
      </c>
      <c r="H146" s="6">
        <f>INT(($E146-100000*G146)/10000)</f>
        <v>3</v>
      </c>
      <c r="I146" s="6">
        <f>INT(($E146-100000*G146-10000*H146)/1000)</f>
        <v>6</v>
      </c>
      <c r="J146" s="6">
        <f>INT(($E146-100000*$G146-10000*$H146-1000*$I146)/100)</f>
        <v>5</v>
      </c>
      <c r="K146" s="6">
        <f>INT(($E146-100000*$G146-10000*$H146-1000*$I146-100*$J146)/10)</f>
        <v>7</v>
      </c>
      <c r="L146" s="6">
        <f>INT(($E146-100000*$G146-10000*$H146-1000*$I146-100*$J146-10*$K146))</f>
        <v>8</v>
      </c>
      <c r="M146" s="7">
        <v>2</v>
      </c>
      <c r="N146" s="18"/>
      <c r="O146" s="76">
        <f>10*LOG10((10^((100+10*LOG10(1/(4*PI()*(3+J146/2)^2)))/10)+10^((100-3+10*LOG10(1/(4*PI()*(3+J146/2)^2)))/10))/10^((100+10*LOG10(4*(1+L146/10)/(0.16*(2000+K146*100))))/10))</f>
        <v>-6.2534913019045373</v>
      </c>
      <c r="P146" s="7">
        <f>IF(N146="",0,IF(EXACT(RIGHT(N146,2),"dB"),IF(ABS(VALUE(LEFT(N146,FIND(" ",N146,1)))-O146)&lt;=0.5,1,-1),-1))</f>
        <v>0</v>
      </c>
      <c r="Q146" s="18"/>
      <c r="R146" s="35">
        <f>(10^((100-3+10*LOG10(1/(4*PI()*(3+J146/2)^2)))/10)*COS((90-(30+L146*6))/180*PI()))/(10^((100+10*LOG10(1/(4*PI()*(3+J146/2)^2)))/10)+10^((100-3+10*LOG10(1/(4*PI()*(3+J146/2)^2)))/10))</f>
        <v>0.32656492082362676</v>
      </c>
      <c r="S146" s="7">
        <f>IF(Q146="",0,IF(ABS(VALUE(Q146)-R146)&lt;=0.05,1,-1))</f>
        <v>0</v>
      </c>
      <c r="T146" s="18"/>
      <c r="U146" s="76">
        <f>10*LOG10(10^((100+10*LOG10(1/(4*PI()*(3+J146/2)^2)))/10)+10^((100-3+10*LOG10(1/(4*PI()*(3+J146/2)^2)))/10)+10^((100+10*LOG10(4*(1+L146/10)/(0.16*(2000+K146*100))))/10))-100+31</f>
        <v>14.141997752246425</v>
      </c>
      <c r="V146" s="7">
        <f>IF(T146="",0,IF(EXACT(RIGHT(T146,2),"dB"),IF(ABS(VALUE(LEFT(T146,FIND(" ",T146,1)))-U146)&lt;=0.5,1,-1),-1))</f>
        <v>0</v>
      </c>
      <c r="W146" s="58">
        <v>0.9</v>
      </c>
      <c r="X146" s="35">
        <f>(0.5+L146/20)/(1+10^(-(5+K146)/10))</f>
        <v>0.84658415120750907</v>
      </c>
      <c r="Y146" s="7">
        <f>IF(W146="",0,IF(ABS(VALUE(W146)-X146)&lt;=0.05,1,-1))</f>
        <v>-1</v>
      </c>
      <c r="Z146" s="18"/>
      <c r="AA146" s="76">
        <f>10*LOG10(1+((100+K146*10+L146)*(0.5+J146/20))/((0.1+J146/100)*(6*(5+L146/2)^2)))</f>
        <v>4.51982164637199</v>
      </c>
      <c r="AB146" s="7">
        <f>IF(Z146="",0,IF(EXACT(RIGHT(Z146,2),"dB"),IF(ABS(VALUE(LEFT(Z146,FIND(" ",Z146,1)))-AA146)&lt;=0.5,1,-1),-1))</f>
        <v>0</v>
      </c>
      <c r="AC146" s="34">
        <v>0.66</v>
      </c>
      <c r="AD146" s="35">
        <f>0.3+L146/30+0.1</f>
        <v>0.66666666666666663</v>
      </c>
      <c r="AE146" s="7">
        <f>IF(AC146="",0,IF(ABS(VALUE(AC146)-AD146)&lt;=0.05,1,-1))</f>
        <v>1</v>
      </c>
      <c r="AF146" s="34">
        <v>0.34</v>
      </c>
      <c r="AG146" s="35">
        <f>1-AD146</f>
        <v>0.33333333333333337</v>
      </c>
      <c r="AH146" s="7">
        <f>IF(AF146="",0,IF(ABS(VALUE(AF146)-AG146)&lt;=0.05,1,-1))</f>
        <v>1</v>
      </c>
      <c r="AI146" s="36" t="s">
        <v>165</v>
      </c>
      <c r="AJ146" s="76">
        <f>-10*LOG10(1-(0.3+K146/20))</f>
        <v>4.5593195564972424</v>
      </c>
      <c r="AK146" s="7">
        <f>IF(AI146="",0,IF(EXACT(RIGHT(AI146,2),"dB"),IF(ABS(ABS(VALUE(LEFT(AI146,FIND(" ",AI146,1))))-AJ146)&lt;=0.5,1,-1),-1))</f>
        <v>1</v>
      </c>
      <c r="AL146" s="34">
        <v>0.99</v>
      </c>
      <c r="AM146" s="35">
        <f>((0.16*(200+K146*10+L146)/(2+K146/10))-0.16*(200+K146*10+L146)/(6+L146/10))/10</f>
        <v>0.99328976034858374</v>
      </c>
      <c r="AN146" s="7">
        <f>IF(AL146="",0,IF(ABS(VALUE(AL146)-AM146)&lt;=0.05,1,-1))</f>
        <v>1</v>
      </c>
      <c r="AO146" s="34" t="s">
        <v>166</v>
      </c>
      <c r="AP146" s="35">
        <f>((0.16*(200+K146*10+L146)/(2+K146/10))-0.16*(200+K146*10+L146)/(6+L146/10))/(10+J146)</f>
        <v>0.66219317356572249</v>
      </c>
      <c r="AQ146" s="7">
        <f>IF(AO146="",0,IF(EXACT(RIGHT(AO146,2),"m2"),IF(ABS(VALUE(LEFT(AO146,FIND(" ",AO146,1)))-AP146)&lt;=0.05,1,-1),-1))</f>
        <v>-1</v>
      </c>
      <c r="AR146" s="48">
        <f>M146+P146+S146+V146+Y146+AB146+AE146+AH146+AK146+AN146+AQ146</f>
        <v>4</v>
      </c>
    </row>
    <row r="147" spans="1:44" ht="12.75" x14ac:dyDescent="0.2">
      <c r="A147" s="32">
        <v>145</v>
      </c>
      <c r="B147" s="33">
        <v>41950.766458067126</v>
      </c>
      <c r="C147" s="34" t="s">
        <v>226</v>
      </c>
      <c r="D147" s="34" t="s">
        <v>227</v>
      </c>
      <c r="E147" s="17">
        <v>234405</v>
      </c>
      <c r="F147" s="6">
        <v>1</v>
      </c>
      <c r="G147" s="6">
        <f>INT(E147/100000)</f>
        <v>2</v>
      </c>
      <c r="H147" s="6">
        <f>INT(($E147-100000*G147)/10000)</f>
        <v>3</v>
      </c>
      <c r="I147" s="6">
        <f>INT(($E147-100000*G147-10000*H147)/1000)</f>
        <v>4</v>
      </c>
      <c r="J147" s="6">
        <f>INT(($E147-100000*$G147-10000*$H147-1000*$I147)/100)</f>
        <v>4</v>
      </c>
      <c r="K147" s="6">
        <f>INT(($E147-100000*$G147-10000*$H147-1000*$I147-100*$J147)/10)</f>
        <v>0</v>
      </c>
      <c r="L147" s="6">
        <f>INT(($E147-100000*$G147-10000*$H147-1000*$I147-100*$J147-10*$K147))</f>
        <v>5</v>
      </c>
      <c r="M147" s="7">
        <v>2</v>
      </c>
      <c r="N147" s="18"/>
      <c r="O147" s="76">
        <f>10*LOG10((10^((100+10*LOG10(1/(4*PI()*(3+J147/2)^2)))/10)+10^((100-3+10*LOG10(1/(4*PI()*(3+J147/2)^2)))/10))/10^((100+10*LOG10(4*(1+L147/10)/(0.16*(2000+K147*100))))/10))</f>
        <v>-5.9371628232138445</v>
      </c>
      <c r="P147" s="7">
        <f>IF(N147="",0,IF(EXACT(RIGHT(N147,2),"dB"),IF(ABS(VALUE(LEFT(N147,FIND(" ",N147,1)))-O147)&lt;=0.5,1,-1),-1))</f>
        <v>0</v>
      </c>
      <c r="Q147" s="18"/>
      <c r="R147" s="35">
        <f>(10^((100-3+10*LOG10(1/(4*PI()*(3+J147/2)^2)))/10)*COS((90-(30+L147*6))/180*PI()))/(10^((100+10*LOG10(1/(4*PI()*(3+J147/2)^2)))/10)+10^((100-3+10*LOG10(1/(4*PI()*(3+J147/2)^2)))/10))</f>
        <v>0.28913173963310662</v>
      </c>
      <c r="S147" s="7">
        <f>IF(Q147="",0,IF(ABS(VALUE(Q147)-R147)&lt;=0.05,1,-1))</f>
        <v>0</v>
      </c>
      <c r="T147" s="18"/>
      <c r="U147" s="76">
        <f>10*LOG10(10^((100+10*LOG10(1/(4*PI()*(3+J147/2)^2)))/10)+10^((100-3+10*LOG10(1/(4*PI()*(3+J147/2)^2)))/10)+10^((100+10*LOG10(4*(1+L147/10)/(0.16*(2000+K147*100))))/10))-100+31</f>
        <v>14.715929001770235</v>
      </c>
      <c r="V147" s="7">
        <f>IF(T147="",0,IF(EXACT(RIGHT(T147,2),"dB"),IF(ABS(VALUE(LEFT(T147,FIND(" ",T147,1)))-U147)&lt;=0.5,1,-1),-1))</f>
        <v>0</v>
      </c>
      <c r="W147" s="58">
        <v>0.749</v>
      </c>
      <c r="X147" s="35">
        <f>(0.5+L147/20)/(1+10^(-(5+K147)/10))</f>
        <v>0.56981019498596841</v>
      </c>
      <c r="Y147" s="7">
        <f>IF(W147="",0,IF(ABS(VALUE(W147)-X147)&lt;=0.05,1,-1))</f>
        <v>-1</v>
      </c>
      <c r="Z147" s="34" t="s">
        <v>229</v>
      </c>
      <c r="AA147" s="76">
        <f>10*LOG10(1+((100+K147*10+L147)*(0.5+J147/20))/((0.1+J147/100)*(6*(5+L147/2)^2)))</f>
        <v>4.0748532657826795</v>
      </c>
      <c r="AB147" s="7">
        <f>IF(Z147="",0,IF(EXACT(RIGHT(Z147,2),"dB"),IF(ABS(VALUE(LEFT(Z147,FIND(" ",Z147,1)))-AA147)&lt;=0.5,1,-1),-1))</f>
        <v>-1</v>
      </c>
      <c r="AC147" s="34">
        <v>0.56000000000000005</v>
      </c>
      <c r="AD147" s="35">
        <f>0.3+L147/30+0.1</f>
        <v>0.56666666666666665</v>
      </c>
      <c r="AE147" s="7">
        <f>IF(AC147="",0,IF(ABS(VALUE(AC147)-AD147)&lt;=0.05,1,-1))</f>
        <v>1</v>
      </c>
      <c r="AF147" s="34">
        <v>0.44</v>
      </c>
      <c r="AG147" s="35">
        <f>1-AD147</f>
        <v>0.43333333333333335</v>
      </c>
      <c r="AH147" s="7">
        <f>IF(AF147="",0,IF(ABS(VALUE(AF147)-AG147)&lt;=0.05,1,-1))</f>
        <v>1</v>
      </c>
      <c r="AI147" s="34" t="s">
        <v>228</v>
      </c>
      <c r="AJ147" s="76">
        <f>-10*LOG10(1-(0.3+K147/20))</f>
        <v>1.5490195998574319</v>
      </c>
      <c r="AK147" s="7">
        <f>IF(AI147="",0,IF(EXACT(RIGHT(AI147,2),"dB"),IF(ABS(ABS(VALUE(LEFT(AI147,FIND(" ",AI147,1))))-AJ147)&lt;=0.5,1,-1),-1))</f>
        <v>1</v>
      </c>
      <c r="AL147" s="34">
        <v>1.1359999999999999</v>
      </c>
      <c r="AM147" s="35">
        <f>((0.16*(200+K147*10+L147)/(2+K147/10))-0.16*(200+K147*10+L147)/(6+L147/10))/10</f>
        <v>1.1353846153846152</v>
      </c>
      <c r="AN147" s="7">
        <f>IF(AL147="",0,IF(ABS(VALUE(AL147)-AM147)&lt;=0.05,1,-1))</f>
        <v>1</v>
      </c>
      <c r="AO147" s="18"/>
      <c r="AP147" s="35">
        <f>((0.16*(200+K147*10+L147)/(2+K147/10))-0.16*(200+K147*10+L147)/(6+L147/10))/(10+J147)</f>
        <v>0.81098901098901088</v>
      </c>
      <c r="AQ147" s="7">
        <f>IF(AO147="",0,IF(EXACT(RIGHT(AO147,2),"m2"),IF(ABS(VALUE(LEFT(AO147,FIND(" ",AO147,1)))-AP147)&lt;=0.05,1,-1),-1))</f>
        <v>0</v>
      </c>
      <c r="AR147" s="48">
        <f>M147+P147+S147+V147+Y147+AB147+AE147+AH147+AK147+AN147+AQ147</f>
        <v>4</v>
      </c>
    </row>
    <row r="148" spans="1:44" ht="12.75" x14ac:dyDescent="0.2">
      <c r="A148" s="32">
        <v>146</v>
      </c>
      <c r="B148" s="33">
        <v>41950.766529409724</v>
      </c>
      <c r="C148" s="34" t="s">
        <v>245</v>
      </c>
      <c r="D148" s="34" t="s">
        <v>246</v>
      </c>
      <c r="E148" s="17">
        <v>239435</v>
      </c>
      <c r="F148" s="6">
        <v>1</v>
      </c>
      <c r="G148" s="6">
        <f>INT(E148/100000)</f>
        <v>2</v>
      </c>
      <c r="H148" s="6">
        <f>INT(($E148-100000*G148)/10000)</f>
        <v>3</v>
      </c>
      <c r="I148" s="6">
        <f>INT(($E148-100000*G148-10000*H148)/1000)</f>
        <v>9</v>
      </c>
      <c r="J148" s="6">
        <f>INT(($E148-100000*$G148-10000*$H148-1000*$I148)/100)</f>
        <v>4</v>
      </c>
      <c r="K148" s="6">
        <f>INT(($E148-100000*$G148-10000*$H148-1000*$I148-100*$J148)/10)</f>
        <v>3</v>
      </c>
      <c r="L148" s="6">
        <f>INT(($E148-100000*$G148-10000*$H148-1000*$I148-100*$J148-10*$K148))</f>
        <v>5</v>
      </c>
      <c r="M148" s="7">
        <v>2</v>
      </c>
      <c r="N148" s="18"/>
      <c r="O148" s="76">
        <f>10*LOG10((10^((100+10*LOG10(1/(4*PI()*(3+J148/2)^2)))/10)+10^((100-3+10*LOG10(1/(4*PI()*(3+J148/2)^2)))/10))/10^((100+10*LOG10(4*(1+L148/10)/(0.16*(2000+K148*100))))/10))</f>
        <v>-5.3301844196777246</v>
      </c>
      <c r="P148" s="7">
        <f>IF(N148="",0,IF(EXACT(RIGHT(N148,2),"dB"),IF(ABS(VALUE(LEFT(N148,FIND(" ",N148,1)))-O148)&lt;=0.5,1,-1),-1))</f>
        <v>0</v>
      </c>
      <c r="Q148" s="18"/>
      <c r="R148" s="35">
        <f>(10^((100-3+10*LOG10(1/(4*PI()*(3+J148/2)^2)))/10)*COS((90-(30+L148*6))/180*PI()))/(10^((100+10*LOG10(1/(4*PI()*(3+J148/2)^2)))/10)+10^((100-3+10*LOG10(1/(4*PI()*(3+J148/2)^2)))/10))</f>
        <v>0.28913173963310662</v>
      </c>
      <c r="S148" s="7">
        <f>IF(Q148="",0,IF(ABS(VALUE(Q148)-R148)&lt;=0.05,1,-1))</f>
        <v>0</v>
      </c>
      <c r="T148" s="18"/>
      <c r="U148" s="76">
        <f>10*LOG10(10^((100+10*LOG10(1/(4*PI()*(3+J148/2)^2)))/10)+10^((100-3+10*LOG10(1/(4*PI()*(3+J148/2)^2)))/10)+10^((100+10*LOG10(4*(1+L148/10)/(0.16*(2000+K148*100))))/10))-100+31</f>
        <v>14.23927778034178</v>
      </c>
      <c r="V148" s="7">
        <f>IF(T148="",0,IF(EXACT(RIGHT(T148,2),"dB"),IF(ABS(VALUE(LEFT(T148,FIND(" ",T148,1)))-U148)&lt;=0.5,1,-1),-1))</f>
        <v>0</v>
      </c>
      <c r="W148" s="59" t="s">
        <v>247</v>
      </c>
      <c r="X148" s="35">
        <f>(0.5+L148/20)/(1+10^(-(5+K148)/10))</f>
        <v>0.64739483354759253</v>
      </c>
      <c r="Y148" s="7">
        <v>-1</v>
      </c>
      <c r="Z148" s="36" t="s">
        <v>248</v>
      </c>
      <c r="AA148" s="76">
        <f>10*LOG10(1+((100+K148*10+L148)*(0.5+J148/20))/((0.1+J148/100)*(6*(5+L148/2)^2)))</f>
        <v>4.7712125471966242</v>
      </c>
      <c r="AB148" s="7">
        <f>IF(Z148="",0,IF(EXACT(RIGHT(Z148,2),"dB"),IF(ABS(VALUE(LEFT(Z148,FIND(" ",Z148,1)))-AA148)&lt;=0.5,1,-1),-1))</f>
        <v>-1</v>
      </c>
      <c r="AC148" s="34">
        <v>0.56699999999999995</v>
      </c>
      <c r="AD148" s="35">
        <f>0.3+L148/30+0.1</f>
        <v>0.56666666666666665</v>
      </c>
      <c r="AE148" s="7">
        <f>IF(AC148="",0,IF(ABS(VALUE(AC148)-AD148)&lt;=0.05,1,-1))</f>
        <v>1</v>
      </c>
      <c r="AF148" s="34">
        <v>0.434</v>
      </c>
      <c r="AG148" s="35">
        <f>1-AD148</f>
        <v>0.43333333333333335</v>
      </c>
      <c r="AH148" s="7">
        <f>IF(AF148="",0,IF(ABS(VALUE(AF148)-AG148)&lt;=0.05,1,-1))</f>
        <v>1</v>
      </c>
      <c r="AI148" s="18"/>
      <c r="AJ148" s="76">
        <f>-10*LOG10(1-(0.3+K148/20))</f>
        <v>2.5963731050575611</v>
      </c>
      <c r="AK148" s="7">
        <f>IF(AI148="",0,IF(EXACT(RIGHT(AI148,2),"dB"),IF(ABS(ABS(VALUE(LEFT(AI148,FIND(" ",AI148,1))))-AJ148)&lt;=0.5,1,-1),-1))</f>
        <v>0</v>
      </c>
      <c r="AL148" s="34">
        <v>1.0563</v>
      </c>
      <c r="AM148" s="35">
        <f>((0.16*(200+K148*10+L148)/(2+K148/10))-0.16*(200+K148*10+L148)/(6+L148/10))/10</f>
        <v>1.0563210702341137</v>
      </c>
      <c r="AN148" s="7">
        <f>IF(AL148="",0,IF(ABS(VALUE(AL148)-AM148)&lt;=0.05,1,-1))</f>
        <v>1</v>
      </c>
      <c r="AO148" s="34" t="s">
        <v>1028</v>
      </c>
      <c r="AP148" s="35">
        <f>((0.16*(200+K148*10+L148)/(2+K148/10))-0.16*(200+K148*10+L148)/(6+L148/10))/(10+J148)</f>
        <v>0.75451505016722409</v>
      </c>
      <c r="AQ148" s="7">
        <f>IF(AO148="",0,IF(EXACT(RIGHT(AO148,2),"m2"),IF(ABS(VALUE(LEFT(AO148,FIND(" ",AO148,1)))-AP148)&lt;=0.05,1,-1),-1))</f>
        <v>1</v>
      </c>
      <c r="AR148" s="48">
        <f>M148+P148+S148+V148+Y148+AB148+AE148+AH148+AK148+AN148+AQ148</f>
        <v>4</v>
      </c>
    </row>
    <row r="149" spans="1:44" ht="12.75" x14ac:dyDescent="0.2">
      <c r="A149" s="32">
        <v>147</v>
      </c>
      <c r="B149" s="33">
        <v>41950.768464328707</v>
      </c>
      <c r="C149" s="34" t="s">
        <v>403</v>
      </c>
      <c r="D149" s="34" t="s">
        <v>404</v>
      </c>
      <c r="E149" s="17">
        <v>242329</v>
      </c>
      <c r="F149" s="6">
        <v>1</v>
      </c>
      <c r="G149" s="6">
        <f>INT(E149/100000)</f>
        <v>2</v>
      </c>
      <c r="H149" s="6">
        <f>INT(($E149-100000*G149)/10000)</f>
        <v>4</v>
      </c>
      <c r="I149" s="6">
        <f>INT(($E149-100000*G149-10000*H149)/1000)</f>
        <v>2</v>
      </c>
      <c r="J149" s="6">
        <f>INT(($E149-100000*$G149-10000*$H149-1000*$I149)/100)</f>
        <v>3</v>
      </c>
      <c r="K149" s="6">
        <f>INT(($E149-100000*$G149-10000*$H149-1000*$I149-100*$J149)/10)</f>
        <v>2</v>
      </c>
      <c r="L149" s="6">
        <f>INT(($E149-100000*$G149-10000*$H149-1000*$I149-100*$J149-10*$K149))</f>
        <v>9</v>
      </c>
      <c r="M149" s="7">
        <v>2</v>
      </c>
      <c r="N149" s="34" t="s">
        <v>405</v>
      </c>
      <c r="O149" s="76">
        <f>10*LOG10((10^((100+10*LOG10(1/(4*PI()*(3+J149/2)^2)))/10)+10^((100-3+10*LOG10(1/(4*PI()*(3+J149/2)^2)))/10))/10^((100+10*LOG10(4*(1+L149/10)/(0.16*(2000+K149*100))))/10))</f>
        <v>-5.6347095793895949</v>
      </c>
      <c r="P149" s="7">
        <f>IF(N149="",0,IF(EXACT(RIGHT(N149,2),"dB"),IF(ABS(VALUE(LEFT(N149,FIND(" ",N149,1)))-O149)&lt;=0.5,1,-1),-1))</f>
        <v>-1</v>
      </c>
      <c r="Q149" s="18"/>
      <c r="R149" s="35">
        <f>(10^((100-3+10*LOG10(1/(4*PI()*(3+J149/2)^2)))/10)*COS((90-(30+L149*6))/180*PI()))/(10^((100+10*LOG10(1/(4*PI()*(3+J149/2)^2)))/10)+10^((100-3+10*LOG10(1/(4*PI()*(3+J149/2)^2)))/10))</f>
        <v>0.33203165225233561</v>
      </c>
      <c r="S149" s="7">
        <f>IF(Q149="",0,IF(ABS(VALUE(Q149)-R149)&lt;=0.05,1,-1))</f>
        <v>0</v>
      </c>
      <c r="T149" s="18"/>
      <c r="U149" s="76">
        <f>10*LOG10(10^((100+10*LOG10(1/(4*PI()*(3+J149/2)^2)))/10)+10^((100-3+10*LOG10(1/(4*PI()*(3+J149/2)^2)))/10)+10^((100+10*LOG10(4*(1+L149/10)/(0.16*(2000+K149*100))))/10))-100+31</f>
        <v>15.391779333918549</v>
      </c>
      <c r="V149" s="7">
        <f>IF(T149="",0,IF(EXACT(RIGHT(T149,2),"dB"),IF(ABS(VALUE(LEFT(T149,FIND(" ",T149,1)))-U149)&lt;=0.5,1,-1),-1))</f>
        <v>0</v>
      </c>
      <c r="W149" s="58">
        <v>0.79200000000000004</v>
      </c>
      <c r="X149" s="35">
        <f>(0.5+L149/20)/(1+10^(-(5+K149)/10))</f>
        <v>0.7919793457242662</v>
      </c>
      <c r="Y149" s="7">
        <f>IF(W149="",0,IF(ABS(VALUE(W149)-X149)&lt;=0.05,1,-1))</f>
        <v>1</v>
      </c>
      <c r="Z149" s="36" t="s">
        <v>407</v>
      </c>
      <c r="AA149" s="76">
        <f>10*LOG10(1+((100+K149*10+L149)*(0.5+J149/20))/((0.1+J149/100)*(6*(5+L149/2)^2)))</f>
        <v>3.4066928159201866</v>
      </c>
      <c r="AB149" s="7">
        <f>IF(Z149="",0,IF(EXACT(RIGHT(Z149,2),"dB"),IF(ABS(VALUE(LEFT(Z149,FIND(" ",Z149,1)))-AA149)&lt;=0.5,1,-1),-1))</f>
        <v>-1</v>
      </c>
      <c r="AC149" s="34">
        <v>0.7</v>
      </c>
      <c r="AD149" s="35">
        <f>0.3+L149/30+0.1</f>
        <v>0.7</v>
      </c>
      <c r="AE149" s="7">
        <f>IF(AC149="",0,IF(ABS(VALUE(AC149)-AD149)&lt;=0.05,1,-1))</f>
        <v>1</v>
      </c>
      <c r="AF149" s="34">
        <v>0.3</v>
      </c>
      <c r="AG149" s="35">
        <f>1-AD149</f>
        <v>0.30000000000000004</v>
      </c>
      <c r="AH149" s="7">
        <f>IF(AF149="",0,IF(ABS(VALUE(AF149)-AG149)&lt;=0.05,1,-1))</f>
        <v>1</v>
      </c>
      <c r="AI149" s="34" t="s">
        <v>406</v>
      </c>
      <c r="AJ149" s="76">
        <f>-10*LOG10(1-(0.3+K149/20))</f>
        <v>2.2184874961635641</v>
      </c>
      <c r="AK149" s="7">
        <f>IF(AI149="",0,IF(EXACT(RIGHT(AI149,2),"dB"),IF(ABS(ABS(VALUE(LEFT(AI149,FIND(" ",AI149,1))))-AJ149)&lt;=0.5,1,-1),-1))</f>
        <v>-1</v>
      </c>
      <c r="AL149" s="34">
        <v>1.1344399999999999</v>
      </c>
      <c r="AM149" s="35">
        <f>((0.16*(200+K149*10+L149)/(2+K149/10))-0.16*(200+K149*10+L149)/(6+L149/10))/10</f>
        <v>1.134440052700922</v>
      </c>
      <c r="AN149" s="7">
        <f>IF(AL149="",0,IF(ABS(VALUE(AL149)-AM149)&lt;=0.05,1,-1))</f>
        <v>1</v>
      </c>
      <c r="AO149" s="34" t="s">
        <v>408</v>
      </c>
      <c r="AP149" s="35">
        <f>((0.16*(200+K149*10+L149)/(2+K149/10))-0.16*(200+K149*10+L149)/(6+L149/10))/(10+J149)</f>
        <v>0.87264619438532465</v>
      </c>
      <c r="AQ149" s="7">
        <f>IF(AO149="",0,IF(EXACT(RIGHT(AO149,2),"m2"),IF(ABS(VALUE(LEFT(AO149,FIND(" ",AO149,1)))-AP149)&lt;=0.05,1,-1),-1))</f>
        <v>1</v>
      </c>
      <c r="AR149" s="48">
        <f>M149+P149+S149+V149+Y149+AB149+AE149+AH149+AK149+AN149+AQ149</f>
        <v>4</v>
      </c>
    </row>
    <row r="150" spans="1:44" ht="12.75" x14ac:dyDescent="0.2">
      <c r="A150" s="32">
        <v>148</v>
      </c>
      <c r="B150" s="33">
        <v>41950.768512118055</v>
      </c>
      <c r="C150" s="34" t="s">
        <v>237</v>
      </c>
      <c r="D150" s="34" t="s">
        <v>238</v>
      </c>
      <c r="E150" s="17">
        <v>20782</v>
      </c>
      <c r="F150" s="6">
        <v>1</v>
      </c>
      <c r="G150" s="6">
        <f>INT(E150/100000)</f>
        <v>0</v>
      </c>
      <c r="H150" s="6">
        <f>INT(($E150-100000*G150)/10000)</f>
        <v>2</v>
      </c>
      <c r="I150" s="6">
        <f>INT(($E150-100000*G150-10000*H150)/1000)</f>
        <v>0</v>
      </c>
      <c r="J150" s="6">
        <f>INT(($E150-100000*$G150-10000*$H150-1000*$I150)/100)</f>
        <v>7</v>
      </c>
      <c r="K150" s="6">
        <f>INT(($E150-100000*$G150-10000*$H150-1000*$I150-100*$J150)/10)</f>
        <v>8</v>
      </c>
      <c r="L150" s="6">
        <f>INT(($E150-100000*$G150-10000*$H150-1000*$I150-100*$J150-10*$K150))</f>
        <v>2</v>
      </c>
      <c r="M150" s="7">
        <v>2</v>
      </c>
      <c r="N150" s="18"/>
      <c r="O150" s="76">
        <f>10*LOG10((10^((100+10*LOG10(1/(4*PI()*(3+J150/2)^2)))/10)+10^((100-3+10*LOG10(1/(4*PI()*(3+J150/2)^2)))/10))/10^((100+10*LOG10(4*(1+L150/10)/(0.16*(2000+K150*100))))/10))</f>
        <v>-5.7856493824876551</v>
      </c>
      <c r="P150" s="7">
        <f>IF(N150="",0,IF(EXACT(RIGHT(N150,2),"dB"),IF(ABS(VALUE(LEFT(N150,FIND(" ",N150,1)))-O150)&lt;=0.5,1,-1),-1))</f>
        <v>0</v>
      </c>
      <c r="Q150" s="18"/>
      <c r="R150" s="35">
        <f>(10^((100-3+10*LOG10(1/(4*PI()*(3+J150/2)^2)))/10)*COS((90-(30+L150*6))/180*PI()))/(10^((100+10*LOG10(1/(4*PI()*(3+J150/2)^2)))/10)+10^((100-3+10*LOG10(1/(4*PI()*(3+J150/2)^2)))/10))</f>
        <v>0.22339632926801328</v>
      </c>
      <c r="S150" s="7">
        <f>IF(Q150="",0,IF(ABS(VALUE(Q150)-R150)&lt;=0.05,1,-1))</f>
        <v>0</v>
      </c>
      <c r="T150" s="18"/>
      <c r="U150" s="76">
        <f>10*LOG10(10^((100+10*LOG10(1/(4*PI()*(3+J150/2)^2)))/10)+10^((100-3+10*LOG10(1/(4*PI()*(3+J150/2)^2)))/10)+10^((100+10*LOG10(4*(1+L150/10)/(0.16*(2000+K150*100))))/10))-100+31</f>
        <v>12.316750334511738</v>
      </c>
      <c r="V150" s="7">
        <f>IF(T150="",0,IF(EXACT(RIGHT(T150,2),"dB"),IF(ABS(VALUE(LEFT(T150,FIND(" ",T150,1)))-U150)&lt;=0.5,1,-1),-1))</f>
        <v>0</v>
      </c>
      <c r="W150" s="58">
        <v>0.57135999999999998</v>
      </c>
      <c r="X150" s="35">
        <f>(0.5+L150/20)/(1+10^(-(5+K150)/10))</f>
        <v>0.5713639673794777</v>
      </c>
      <c r="Y150" s="7">
        <f>IF(W150="",0,IF(ABS(VALUE(W150)-X150)&lt;=0.05,1,-1))</f>
        <v>1</v>
      </c>
      <c r="Z150" s="36" t="s">
        <v>239</v>
      </c>
      <c r="AA150" s="76">
        <f>10*LOG10(1+((100+K150*10+L150)*(0.5+J150/20))/((0.1+J150/100)*(6*(5+L150/2)^2)))</f>
        <v>7.1708463936439646</v>
      </c>
      <c r="AB150" s="7">
        <v>-1</v>
      </c>
      <c r="AC150" s="34">
        <v>0.46660000000000001</v>
      </c>
      <c r="AD150" s="35">
        <f>0.3+L150/30+0.1</f>
        <v>0.46666666666666667</v>
      </c>
      <c r="AE150" s="7">
        <f>IF(AC150="",0,IF(ABS(VALUE(AC150)-AD150)&lt;=0.05,1,-1))</f>
        <v>1</v>
      </c>
      <c r="AF150" s="34">
        <v>0.5333</v>
      </c>
      <c r="AG150" s="35">
        <f>1-AD150</f>
        <v>0.53333333333333333</v>
      </c>
      <c r="AH150" s="7">
        <f>IF(AF150="",0,IF(ABS(VALUE(AF150)-AG150)&lt;=0.05,1,-1))</f>
        <v>1</v>
      </c>
      <c r="AI150" s="18"/>
      <c r="AJ150" s="76">
        <f>-10*LOG10(1-(0.3+K150/20))</f>
        <v>5.2287874528033749</v>
      </c>
      <c r="AK150" s="7">
        <f>IF(AI150="",0,IF(EXACT(RIGHT(AI150,2),"dB"),IF(ABS(ABS(VALUE(LEFT(AI150,FIND(" ",AI150,1))))-AJ150)&lt;=0.5,1,-1),-1))</f>
        <v>0</v>
      </c>
      <c r="AL150" s="34">
        <v>0.88368000000000002</v>
      </c>
      <c r="AM150" s="35">
        <f>((0.16*(200+K150*10+L150)/(2+K150/10))-0.16*(200+K150*10+L150)/(6+L150/10))/10</f>
        <v>0.88368663594470043</v>
      </c>
      <c r="AN150" s="7">
        <f>IF(AL150="",0,IF(ABS(VALUE(AL150)-AM150)&lt;=0.05,1,-1))</f>
        <v>1</v>
      </c>
      <c r="AO150" s="36" t="s">
        <v>240</v>
      </c>
      <c r="AP150" s="35">
        <f>((0.16*(200+K150*10+L150)/(2+K150/10))-0.16*(200+K150*10+L150)/(6+L150/10))/(10+J150)</f>
        <v>0.51981566820276492</v>
      </c>
      <c r="AQ150" s="7">
        <v>-1</v>
      </c>
      <c r="AR150" s="48">
        <f>M150+P150+S150+V150+Y150+AB150+AE150+AH150+AK150+AN150+AQ150</f>
        <v>4</v>
      </c>
    </row>
    <row r="151" spans="1:44" ht="12.75" x14ac:dyDescent="0.2">
      <c r="A151" s="32">
        <v>149</v>
      </c>
      <c r="B151" s="33">
        <v>41950.769285706017</v>
      </c>
      <c r="C151" s="34" t="s">
        <v>556</v>
      </c>
      <c r="D151" s="34" t="s">
        <v>557</v>
      </c>
      <c r="E151" s="17">
        <v>243620</v>
      </c>
      <c r="F151" s="6">
        <v>1</v>
      </c>
      <c r="G151" s="6">
        <f>INT(E151/100000)</f>
        <v>2</v>
      </c>
      <c r="H151" s="6">
        <f>INT(($E151-100000*G151)/10000)</f>
        <v>4</v>
      </c>
      <c r="I151" s="6">
        <f>INT(($E151-100000*G151-10000*H151)/1000)</f>
        <v>3</v>
      </c>
      <c r="J151" s="6">
        <f>INT(($E151-100000*$G151-10000*$H151-1000*$I151)/100)</f>
        <v>6</v>
      </c>
      <c r="K151" s="6">
        <f>INT(($E151-100000*$G151-10000*$H151-1000*$I151-100*$J151)/10)</f>
        <v>2</v>
      </c>
      <c r="L151" s="6">
        <f>INT(($E151-100000*$G151-10000*$H151-1000*$I151-100*$J151-10*$K151))</f>
        <v>0</v>
      </c>
      <c r="M151" s="7">
        <v>2</v>
      </c>
      <c r="N151" s="34" t="s">
        <v>558</v>
      </c>
      <c r="O151" s="76">
        <f>10*LOG10((10^((100+10*LOG10(1/(4*PI()*(3+J151/2)^2)))/10)+10^((100-3+10*LOG10(1/(4*PI()*(3+J151/2)^2)))/10))/10^((100+10*LOG10(4*(1+L151/10)/(0.16*(2000+K151*100))))/10))</f>
        <v>-5.3459483020272893</v>
      </c>
      <c r="P151" s="7">
        <f>IF(N151="",0,IF(EXACT(RIGHT(N151,2),"dB"),IF(ABS(VALUE(LEFT(N151,FIND(" ",N151,1)))-O151)&lt;=0.5,1,-1),-1))</f>
        <v>-1</v>
      </c>
      <c r="Q151" s="18"/>
      <c r="R151" s="35">
        <f>(10^((100-3+10*LOG10(1/(4*PI()*(3+J151/2)^2)))/10)*COS((90-(30+L151*6))/180*PI()))/(10^((100+10*LOG10(1/(4*PI()*(3+J151/2)^2)))/10)+10^((100-3+10*LOG10(1/(4*PI()*(3+J151/2)^2)))/10))</f>
        <v>0.16693028770843929</v>
      </c>
      <c r="S151" s="7">
        <f>IF(Q151="",0,IF(ABS(VALUE(Q151)-R151)&lt;=0.05,1,-1))</f>
        <v>0</v>
      </c>
      <c r="T151" s="18"/>
      <c r="U151" s="76">
        <f>10*LOG10(10^((100+10*LOG10(1/(4*PI()*(3+J151/2)^2)))/10)+10^((100-3+10*LOG10(1/(4*PI()*(3+J151/2)^2)))/10)+10^((100+10*LOG10(4*(1+L151/10)/(0.16*(2000+K151*100))))/10))-100+31</f>
        <v>12.667848856942484</v>
      </c>
      <c r="V151" s="7">
        <f>IF(T151="",0,IF(EXACT(RIGHT(T151,2),"dB"),IF(ABS(VALUE(LEFT(T151,FIND(" ",T151,1)))-U151)&lt;=0.5,1,-1),-1))</f>
        <v>0</v>
      </c>
      <c r="W151" s="58">
        <v>0.41599999999999998</v>
      </c>
      <c r="X151" s="35">
        <f>(0.5+L151/20)/(1+10^(-(5+K151)/10))</f>
        <v>0.41683123459171906</v>
      </c>
      <c r="Y151" s="7">
        <f>IF(W151="",0,IF(ABS(VALUE(W151)-X151)&lt;=0.05,1,-1))</f>
        <v>1</v>
      </c>
      <c r="Z151" s="34" t="s">
        <v>560</v>
      </c>
      <c r="AA151" s="76">
        <f>10*LOG10(1+((100+K151*10+L151)*(0.5+J151/20))/((0.1+J151/100)*(6*(5+L151/2)^2)))</f>
        <v>6.9897000433601884</v>
      </c>
      <c r="AB151" s="7">
        <f>IF(Z151="",0,IF(EXACT(RIGHT(Z151,2),"dB"),IF(ABS(VALUE(LEFT(Z151,FIND(" ",Z151,1)))-AA151)&lt;=0.5,1,-1),-1))</f>
        <v>-1</v>
      </c>
      <c r="AC151" s="34">
        <v>0.4</v>
      </c>
      <c r="AD151" s="35">
        <f>0.3+L151/30+0.1</f>
        <v>0.4</v>
      </c>
      <c r="AE151" s="7">
        <f>IF(AC151="",0,IF(ABS(VALUE(AC151)-AD151)&lt;=0.05,1,-1))</f>
        <v>1</v>
      </c>
      <c r="AF151" s="34">
        <v>0.6</v>
      </c>
      <c r="AG151" s="35">
        <f>1-AD151</f>
        <v>0.6</v>
      </c>
      <c r="AH151" s="7">
        <f>IF(AF151="",0,IF(ABS(VALUE(AF151)-AG151)&lt;=0.05,1,-1))</f>
        <v>1</v>
      </c>
      <c r="AI151" s="34" t="s">
        <v>559</v>
      </c>
      <c r="AJ151" s="76">
        <f>-10*LOG10(1-(0.3+K151/20))</f>
        <v>2.2184874961635641</v>
      </c>
      <c r="AK151" s="7">
        <f>IF(AI151="",0,IF(EXACT(RIGHT(AI151,2),"dB"),IF(ABS(ABS(VALUE(LEFT(AI151,FIND(" ",AI151,1))))-AJ151)&lt;=0.5,1,-1),-1))</f>
        <v>1</v>
      </c>
      <c r="AL151" s="34">
        <v>1.0133000000000001</v>
      </c>
      <c r="AM151" s="35">
        <f>((0.16*(200+K151*10+L151)/(2+K151/10))-0.16*(200+K151*10+L151)/(6+L151/10))/10</f>
        <v>1.0133333333333332</v>
      </c>
      <c r="AN151" s="7">
        <f>IF(AL151="",0,IF(ABS(VALUE(AL151)-AM151)&lt;=0.05,1,-1))</f>
        <v>1</v>
      </c>
      <c r="AO151" s="34" t="s">
        <v>561</v>
      </c>
      <c r="AP151" s="35">
        <f>((0.16*(200+K151*10+L151)/(2+K151/10))-0.16*(200+K151*10+L151)/(6+L151/10))/(10+J151)</f>
        <v>0.6333333333333333</v>
      </c>
      <c r="AQ151" s="7">
        <f>IF(AO151="",0,IF(EXACT(RIGHT(AO151,2),"m2"),IF(ABS(VALUE(LEFT(AO151,FIND(" ",AO151,1)))-AP151)&lt;=0.05,1,-1),-1))</f>
        <v>-1</v>
      </c>
      <c r="AR151" s="48">
        <f>M151+P151+S151+V151+Y151+AB151+AE151+AH151+AK151+AN151+AQ151</f>
        <v>4</v>
      </c>
    </row>
    <row r="152" spans="1:44" ht="12.75" x14ac:dyDescent="0.2">
      <c r="A152" s="32">
        <v>150</v>
      </c>
      <c r="B152" s="33">
        <v>41950.769868495372</v>
      </c>
      <c r="C152" s="34" t="s">
        <v>609</v>
      </c>
      <c r="D152" s="34" t="s">
        <v>610</v>
      </c>
      <c r="E152" s="17">
        <v>240058</v>
      </c>
      <c r="F152" s="6">
        <v>1</v>
      </c>
      <c r="G152" s="6">
        <f>INT(E152/100000)</f>
        <v>2</v>
      </c>
      <c r="H152" s="6">
        <f>INT(($E152-100000*G152)/10000)</f>
        <v>4</v>
      </c>
      <c r="I152" s="6">
        <f>INT(($E152-100000*G152-10000*H152)/1000)</f>
        <v>0</v>
      </c>
      <c r="J152" s="6">
        <f>INT(($E152-100000*$G152-10000*$H152-1000*$I152)/100)</f>
        <v>0</v>
      </c>
      <c r="K152" s="6">
        <f>INT(($E152-100000*$G152-10000*$H152-1000*$I152-100*$J152)/10)</f>
        <v>5</v>
      </c>
      <c r="L152" s="6">
        <f>INT(($E152-100000*$G152-10000*$H152-1000*$I152-100*$J152-10*$K152))</f>
        <v>8</v>
      </c>
      <c r="M152" s="7">
        <v>2</v>
      </c>
      <c r="N152" s="34" t="s">
        <v>611</v>
      </c>
      <c r="O152" s="76">
        <f>10*LOG10((10^((100+10*LOG10(1/(4*PI()*(3+J152/2)^2)))/10)+10^((100-3+10*LOG10(1/(4*PI()*(3+J152/2)^2)))/10))/10^((100+10*LOG10(4*(1+L152/10)/(0.16*(2000+K152*100))))/10))</f>
        <v>-1.3229001612824169</v>
      </c>
      <c r="P152" s="7">
        <f>IF(N152="",0,IF(EXACT(RIGHT(N152,2),"dB"),IF(ABS(VALUE(LEFT(N152,FIND(" ",N152,1)))-O152)&lt;=0.5,1,-1),-1))</f>
        <v>-1</v>
      </c>
      <c r="Q152" s="18"/>
      <c r="R152" s="35">
        <f>(10^((100-3+10*LOG10(1/(4*PI()*(3+J152/2)^2)))/10)*COS((90-(30+L152*6))/180*PI()))/(10^((100+10*LOG10(1/(4*PI()*(3+J152/2)^2)))/10)+10^((100-3+10*LOG10(1/(4*PI()*(3+J152/2)^2)))/10))</f>
        <v>0.32656492082362754</v>
      </c>
      <c r="S152" s="7">
        <f>IF(Q152="",0,IF(ABS(VALUE(Q152)-R152)&lt;=0.05,1,-1))</f>
        <v>0</v>
      </c>
      <c r="T152" s="18"/>
      <c r="U152" s="76">
        <f>10*LOG10(10^((100+10*LOG10(1/(4*PI()*(3+J152/2)^2)))/10)+10^((100-3+10*LOG10(1/(4*PI()*(3+J152/2)^2)))/10)+10^((100+10*LOG10(4*(1+L152/10)/(0.16*(2000+K152*100))))/10))-100+31</f>
        <v>15.951752298758748</v>
      </c>
      <c r="V152" s="7">
        <f>IF(T152="",0,IF(EXACT(RIGHT(T152,2),"dB"),IF(ABS(VALUE(LEFT(T152,FIND(" ",T152,1)))-U152)&lt;=0.5,1,-1),-1))</f>
        <v>0</v>
      </c>
      <c r="W152" s="58">
        <v>0.81799999999999995</v>
      </c>
      <c r="X152" s="35">
        <f>(0.5+L152/20)/(1+10^(-(5+K152)/10))</f>
        <v>0.81818181818181812</v>
      </c>
      <c r="Y152" s="7">
        <f>IF(W152="",0,IF(ABS(VALUE(W152)-X152)&lt;=0.05,1,-1))</f>
        <v>1</v>
      </c>
      <c r="Z152" s="34" t="s">
        <v>613</v>
      </c>
      <c r="AA152" s="76">
        <f>10*LOG10(1+((100+K152*10+L152)*(0.5+J152/20))/((0.1+J152/100)*(6*(5+L152/2)^2)))</f>
        <v>4.1921440512285013</v>
      </c>
      <c r="AB152" s="7">
        <f>IF(Z152="",0,IF(EXACT(RIGHT(Z152,2),"dB"),IF(ABS(VALUE(LEFT(Z152,FIND(" ",Z152,1)))-AA152)&lt;=0.5,1,-1),-1))</f>
        <v>-1</v>
      </c>
      <c r="AC152" s="34">
        <v>0.66666599999999998</v>
      </c>
      <c r="AD152" s="35">
        <f>0.3+L152/30+0.1</f>
        <v>0.66666666666666663</v>
      </c>
      <c r="AE152" s="7">
        <f>IF(AC152="",0,IF(ABS(VALUE(AC152)-AD152)&lt;=0.05,1,-1))</f>
        <v>1</v>
      </c>
      <c r="AF152" s="34">
        <v>0.33333299999999999</v>
      </c>
      <c r="AG152" s="35">
        <f>1-AD152</f>
        <v>0.33333333333333337</v>
      </c>
      <c r="AH152" s="7">
        <f>IF(AF152="",0,IF(ABS(VALUE(AF152)-AG152)&lt;=0.05,1,-1))</f>
        <v>1</v>
      </c>
      <c r="AI152" s="34" t="s">
        <v>612</v>
      </c>
      <c r="AJ152" s="76">
        <f>-10*LOG10(1-(0.3+K152/20))</f>
        <v>3.467874862246564</v>
      </c>
      <c r="AK152" s="7">
        <f>IF(AI152="",0,IF(EXACT(RIGHT(AI152,2),"dB"),IF(ABS(ABS(VALUE(LEFT(AI152,FIND(" ",AI152,1))))-AJ152)&lt;=0.5,1,-1),-1))</f>
        <v>1</v>
      </c>
      <c r="AL152" s="34">
        <v>1.044141</v>
      </c>
      <c r="AM152" s="35">
        <f>((0.16*(200+K152*10+L152)/(2+K152/10))-0.16*(200+K152*10+L152)/(6+L152/10))/10</f>
        <v>1.0441411764705884</v>
      </c>
      <c r="AN152" s="7">
        <f>IF(AL152="",0,IF(ABS(VALUE(AL152)-AM152)&lt;=0.05,1,-1))</f>
        <v>1</v>
      </c>
      <c r="AO152" s="34" t="s">
        <v>614</v>
      </c>
      <c r="AP152" s="35">
        <f>((0.16*(200+K152*10+L152)/(2+K152/10))-0.16*(200+K152*10+L152)/(6+L152/10))/(10+J152)</f>
        <v>1.0441411764705884</v>
      </c>
      <c r="AQ152" s="7">
        <f>IF(AO152="",0,IF(EXACT(RIGHT(AO152,2),"m2"),IF(ABS(VALUE(LEFT(AO152,FIND(" ",AO152,1)))-AP152)&lt;=0.05,1,-1),-1))</f>
        <v>-1</v>
      </c>
      <c r="AR152" s="48">
        <f>M152+P152+S152+V152+Y152+AB152+AE152+AH152+AK152+AN152+AQ152</f>
        <v>4</v>
      </c>
    </row>
    <row r="153" spans="1:44" ht="12.75" x14ac:dyDescent="0.2">
      <c r="A153" s="32">
        <v>151</v>
      </c>
      <c r="B153" s="33">
        <v>41950.770011516208</v>
      </c>
      <c r="C153" s="34" t="s">
        <v>637</v>
      </c>
      <c r="D153" s="34" t="s">
        <v>638</v>
      </c>
      <c r="E153" s="17">
        <v>240065</v>
      </c>
      <c r="F153" s="6">
        <v>1</v>
      </c>
      <c r="G153" s="6">
        <f>INT(E153/100000)</f>
        <v>2</v>
      </c>
      <c r="H153" s="6">
        <f>INT(($E153-100000*G153)/10000)</f>
        <v>4</v>
      </c>
      <c r="I153" s="6">
        <f>INT(($E153-100000*G153-10000*H153)/1000)</f>
        <v>0</v>
      </c>
      <c r="J153" s="6">
        <f>INT(($E153-100000*$G153-10000*$H153-1000*$I153)/100)</f>
        <v>0</v>
      </c>
      <c r="K153" s="6">
        <f>INT(($E153-100000*$G153-10000*$H153-1000*$I153-100*$J153)/10)</f>
        <v>6</v>
      </c>
      <c r="L153" s="6">
        <f>INT(($E153-100000*$G153-10000*$H153-1000*$I153-100*$J153-10*$K153))</f>
        <v>5</v>
      </c>
      <c r="M153" s="7">
        <v>2</v>
      </c>
      <c r="N153" s="18"/>
      <c r="O153" s="76">
        <f>10*LOG10((10^((100+10*LOG10(1/(4*PI()*(3+J153/2)^2)))/10)+10^((100-3+10*LOG10(1/(4*PI()*(3+J153/2)^2)))/10))/10^((100+10*LOG10(4*(1+L153/10)/(0.16*(2000+K153*100))))/10))</f>
        <v>-0.36075430781836726</v>
      </c>
      <c r="P153" s="7">
        <f>IF(N153="",0,IF(EXACT(RIGHT(N153,2),"dB"),IF(ABS(VALUE(LEFT(N153,FIND(" ",N153,1)))-O153)&lt;=0.5,1,-1),-1))</f>
        <v>0</v>
      </c>
      <c r="Q153" s="18"/>
      <c r="R153" s="35">
        <f>(10^((100-3+10*LOG10(1/(4*PI()*(3+J153/2)^2)))/10)*COS((90-(30+L153*6))/180*PI()))/(10^((100+10*LOG10(1/(4*PI()*(3+J153/2)^2)))/10)+10^((100-3+10*LOG10(1/(4*PI()*(3+J153/2)^2)))/10))</f>
        <v>0.28913173963310729</v>
      </c>
      <c r="S153" s="7">
        <f>IF(Q153="",0,IF(ABS(VALUE(Q153)-R153)&lt;=0.05,1,-1))</f>
        <v>0</v>
      </c>
      <c r="T153" s="18"/>
      <c r="U153" s="76">
        <f>10*LOG10(10^((100+10*LOG10(1/(4*PI()*(3+J153/2)^2)))/10)+10^((100-3+10*LOG10(1/(4*PI()*(3+J153/2)^2)))/10)+10^((100+10*LOG10(4*(1+L153/10)/(0.16*(2000+K153*100))))/10))-100+31</f>
        <v>15.424246759802372</v>
      </c>
      <c r="V153" s="7">
        <f>IF(T153="",0,IF(EXACT(RIGHT(T153,2),"dB"),IF(ABS(VALUE(LEFT(T153,FIND(" ",T153,1)))-U153)&lt;=0.5,1,-1),-1))</f>
        <v>0</v>
      </c>
      <c r="W153" s="58">
        <v>0.69479999999999997</v>
      </c>
      <c r="X153" s="35">
        <f>(0.5+L153/20)/(1+10^(-(5+K153)/10))</f>
        <v>0.69480933291181979</v>
      </c>
      <c r="Y153" s="7">
        <f>IF(W153="",0,IF(ABS(VALUE(W153)-X153)&lt;=0.05,1,-1))</f>
        <v>1</v>
      </c>
      <c r="Z153" s="34" t="s">
        <v>639</v>
      </c>
      <c r="AA153" s="76">
        <f>10*LOG10(1+((100+K153*10+L153)*(0.5+J153/20))/((0.1+J153/100)*(6*(5+L153/2)^2)))</f>
        <v>5.3711918439494788</v>
      </c>
      <c r="AB153" s="7">
        <f>IF(Z153="",0,IF(EXACT(RIGHT(Z153,2),"dB"),IF(ABS(VALUE(LEFT(Z153,FIND(" ",Z153,1)))-AA153)&lt;=0.5,1,-1),-1))</f>
        <v>1</v>
      </c>
      <c r="AC153" s="34">
        <v>0.56666000000000005</v>
      </c>
      <c r="AD153" s="35">
        <f>0.3+L153/30+0.1</f>
        <v>0.56666666666666665</v>
      </c>
      <c r="AE153" s="7">
        <f>IF(AC153="",0,IF(ABS(VALUE(AC153)-AD153)&lt;=0.05,1,-1))</f>
        <v>1</v>
      </c>
      <c r="AF153" s="34">
        <v>0.43334</v>
      </c>
      <c r="AG153" s="35">
        <f>1-AD153</f>
        <v>0.43333333333333335</v>
      </c>
      <c r="AH153" s="7">
        <f>IF(AF153="",0,IF(ABS(VALUE(AF153)-AG153)&lt;=0.05,1,-1))</f>
        <v>1</v>
      </c>
      <c r="AI153" s="18"/>
      <c r="AJ153" s="76">
        <f>-10*LOG10(1-(0.3+K153/20))</f>
        <v>3.9794000867203758</v>
      </c>
      <c r="AK153" s="7">
        <f>IF(AI153="",0,IF(EXACT(RIGHT(AI153,2),"dB"),IF(ABS(ABS(VALUE(LEFT(AI153,FIND(" ",AI153,1))))-AJ153)&lt;=0.5,1,-1),-1))</f>
        <v>0</v>
      </c>
      <c r="AL153" s="34">
        <v>0.84899999999999998</v>
      </c>
      <c r="AM153" s="35">
        <f>((0.16*(200+K153*10+L153)/(2+K153/10))-0.16*(200+K153*10+L153)/(6+L153/10))/10</f>
        <v>0.97846153846153838</v>
      </c>
      <c r="AN153" s="7">
        <f>IF(AL153="",0,IF(ABS(VALUE(AL153)-AM153)&lt;=0.05,1,-1))</f>
        <v>-1</v>
      </c>
      <c r="AO153" s="34" t="s">
        <v>640</v>
      </c>
      <c r="AP153" s="35">
        <f>((0.16*(200+K153*10+L153)/(2+K153/10))-0.16*(200+K153*10+L153)/(6+L153/10))/(10+J153)</f>
        <v>0.97846153846153838</v>
      </c>
      <c r="AQ153" s="7">
        <f>IF(AO153="",0,IF(EXACT(RIGHT(AO153,2),"m2"),IF(ABS(VALUE(LEFT(AO153,FIND(" ",AO153,1)))-AP153)&lt;=0.05,1,-1),-1))</f>
        <v>-1</v>
      </c>
      <c r="AR153" s="48">
        <f>M153+P153+S153+V153+Y153+AB153+AE153+AH153+AK153+AN153+AQ153</f>
        <v>4</v>
      </c>
    </row>
    <row r="154" spans="1:44" ht="12.75" x14ac:dyDescent="0.2">
      <c r="A154" s="32">
        <v>152</v>
      </c>
      <c r="B154" s="33">
        <v>41950.77172542824</v>
      </c>
      <c r="C154" s="34" t="s">
        <v>799</v>
      </c>
      <c r="D154" s="34" t="s">
        <v>800</v>
      </c>
      <c r="E154" s="17">
        <v>258912</v>
      </c>
      <c r="F154" s="6">
        <v>1</v>
      </c>
      <c r="G154" s="6">
        <f>INT(E154/100000)</f>
        <v>2</v>
      </c>
      <c r="H154" s="6">
        <f>INT(($E154-100000*G154)/10000)</f>
        <v>5</v>
      </c>
      <c r="I154" s="6">
        <f>INT(($E154-100000*G154-10000*H154)/1000)</f>
        <v>8</v>
      </c>
      <c r="J154" s="6">
        <f>INT(($E154-100000*$G154-10000*$H154-1000*$I154)/100)</f>
        <v>9</v>
      </c>
      <c r="K154" s="6">
        <f>INT(($E154-100000*$G154-10000*$H154-1000*$I154-100*$J154)/10)</f>
        <v>1</v>
      </c>
      <c r="L154" s="6">
        <f>INT(($E154-100000*$G154-10000*$H154-1000*$I154-100*$J154-10*$K154))</f>
        <v>2</v>
      </c>
      <c r="M154" s="7">
        <v>2</v>
      </c>
      <c r="N154" s="36" t="s">
        <v>801</v>
      </c>
      <c r="O154" s="76">
        <f>10*LOG10((10^((100+10*LOG10(1/(4*PI()*(3+J154/2)^2)))/10)+10^((100-3+10*LOG10(1/(4*PI()*(3+J154/2)^2)))/10))/10^((100+10*LOG10(4*(1+L154/10)/(0.16*(2000+K154*100))))/10))</f>
        <v>-8.2779948835475334</v>
      </c>
      <c r="P154" s="7">
        <f>IF(N154="",0,IF(EXACT(RIGHT(N154,2),"dB"),IF(ABS(VALUE(LEFT(N154,FIND(" ",N154,1)))-O154)&lt;=0.5,1,-1),-1))</f>
        <v>1</v>
      </c>
      <c r="Q154" s="18"/>
      <c r="R154" s="35">
        <f>(10^((100-3+10*LOG10(1/(4*PI()*(3+J154/2)^2)))/10)*COS((90-(30+L154*6))/180*PI()))/(10^((100+10*LOG10(1/(4*PI()*(3+J154/2)^2)))/10)+10^((100-3+10*LOG10(1/(4*PI()*(3+J154/2)^2)))/10))</f>
        <v>0.22339632926801301</v>
      </c>
      <c r="S154" s="7">
        <f>IF(Q154="",0,IF(ABS(VALUE(Q154)-R154)&lt;=0.05,1,-1))</f>
        <v>0</v>
      </c>
      <c r="T154" s="34" t="s">
        <v>802</v>
      </c>
      <c r="U154" s="76">
        <f>10*LOG10(10^((100+10*LOG10(1/(4*PI()*(3+J154/2)^2)))/10)+10^((100-3+10*LOG10(1/(4*PI()*(3+J154/2)^2)))/10)+10^((100+10*LOG10(4*(1+L154/10)/(0.16*(2000+K154*100))))/10))-100+31</f>
        <v>13.150942839177773</v>
      </c>
      <c r="V154" s="7">
        <f>IF(T154="",0,IF(EXACT(RIGHT(T154,2),"dB"),IF(ABS(VALUE(LEFT(T154,FIND(" ",T154,1)))-U154)&lt;=0.5,1,-1),-1))</f>
        <v>-1</v>
      </c>
      <c r="W154" s="59" t="s">
        <v>803</v>
      </c>
      <c r="X154" s="35">
        <f>(0.5+L154/20)/(1+10^(-(5+K154)/10))</f>
        <v>0.47954399465213893</v>
      </c>
      <c r="Y154" s="7">
        <v>-1</v>
      </c>
      <c r="Z154" s="36" t="s">
        <v>804</v>
      </c>
      <c r="AA154" s="76">
        <f>10*LOG10(1+((100+K154*10+L154)*(0.5+J154/20))/((0.1+J154/100)*(6*(5+L154/2)^2)))</f>
        <v>5.5540797010725749</v>
      </c>
      <c r="AB154" s="7">
        <f>IF(Z154="",0,IF(EXACT(RIGHT(Z154,2),"dB"),IF(ABS(VALUE(LEFT(Z154,FIND(" ",Z154,1)))-AA154)&lt;=0.5,1,-1),-1))</f>
        <v>-1</v>
      </c>
      <c r="AC154" s="34">
        <v>0.46660000000000001</v>
      </c>
      <c r="AD154" s="35">
        <f>0.3+L154/30+0.1</f>
        <v>0.46666666666666667</v>
      </c>
      <c r="AE154" s="7">
        <f>IF(AC154="",0,IF(ABS(VALUE(AC154)-AD154)&lt;=0.05,1,-1))</f>
        <v>1</v>
      </c>
      <c r="AF154" s="34">
        <v>0.5333</v>
      </c>
      <c r="AG154" s="35">
        <f>1-AD154</f>
        <v>0.53333333333333333</v>
      </c>
      <c r="AH154" s="7">
        <f>IF(AF154="",0,IF(ABS(VALUE(AF154)-AG154)&lt;=0.05,1,-1))</f>
        <v>1</v>
      </c>
      <c r="AI154" s="18"/>
      <c r="AJ154" s="76">
        <f>-10*LOG10(1-(0.3+K154/20))</f>
        <v>1.8708664335714442</v>
      </c>
      <c r="AK154" s="7">
        <f>IF(AI154="",0,IF(EXACT(RIGHT(AI154,2),"dB"),IF(ABS(ABS(VALUE(LEFT(AI154,FIND(" ",AI154,1))))-AJ154)&lt;=0.5,1,-1),-1))</f>
        <v>0</v>
      </c>
      <c r="AL154" s="34">
        <v>1.068141</v>
      </c>
      <c r="AM154" s="35">
        <f>((0.16*(200+K154*10+L154)/(2+K154/10))-0.16*(200+K154*10+L154)/(6+L154/10))/10</f>
        <v>1.0681413210445467</v>
      </c>
      <c r="AN154" s="7">
        <f>IF(AL154="",0,IF(ABS(VALUE(AL154)-AM154)&lt;=0.05,1,-1))</f>
        <v>1</v>
      </c>
      <c r="AO154" s="34" t="s">
        <v>805</v>
      </c>
      <c r="AP154" s="35">
        <f>((0.16*(200+K154*10+L154)/(2+K154/10))-0.16*(200+K154*10+L154)/(6+L154/10))/(10+J154)</f>
        <v>0.56217964265502463</v>
      </c>
      <c r="AQ154" s="7">
        <f>IF(AO154="",0,IF(EXACT(RIGHT(AO154,2),"m2"),IF(ABS(VALUE(LEFT(AO154,FIND(" ",AO154,1)))-AP154)&lt;=0.05,1,-1),-1))</f>
        <v>1</v>
      </c>
      <c r="AR154" s="48">
        <f>M154+P154+S154+V154+Y154+AB154+AE154+AH154+AK154+AN154+AQ154</f>
        <v>4</v>
      </c>
    </row>
    <row r="155" spans="1:44" ht="12.75" x14ac:dyDescent="0.2">
      <c r="A155" s="32">
        <v>153</v>
      </c>
      <c r="B155" s="33">
        <v>41950.773913680554</v>
      </c>
      <c r="C155" s="34" t="s">
        <v>858</v>
      </c>
      <c r="D155" s="34" t="s">
        <v>859</v>
      </c>
      <c r="E155" s="17">
        <v>232686</v>
      </c>
      <c r="F155" s="6">
        <v>1</v>
      </c>
      <c r="G155" s="6">
        <f>INT(E155/100000)</f>
        <v>2</v>
      </c>
      <c r="H155" s="6">
        <f>INT(($E155-100000*G155)/10000)</f>
        <v>3</v>
      </c>
      <c r="I155" s="6">
        <f>INT(($E155-100000*G155-10000*H155)/1000)</f>
        <v>2</v>
      </c>
      <c r="J155" s="6">
        <f>INT(($E155-100000*$G155-10000*$H155-1000*$I155)/100)</f>
        <v>6</v>
      </c>
      <c r="K155" s="6">
        <f>INT(($E155-100000*$G155-10000*$H155-1000*$I155-100*$J155)/10)</f>
        <v>8</v>
      </c>
      <c r="L155" s="6">
        <f>INT(($E155-100000*$G155-10000*$H155-1000*$I155-100*$J155-10*$K155))</f>
        <v>6</v>
      </c>
      <c r="M155" s="7">
        <v>2</v>
      </c>
      <c r="N155" s="36" t="s">
        <v>860</v>
      </c>
      <c r="O155" s="76">
        <f>10*LOG10((10^((100+10*LOG10(1/(4*PI()*(3+J155/2)^2)))/10)+10^((100-3+10*LOG10(1/(4*PI()*(3+J155/2)^2)))/10))/10^((100+10*LOG10(4*(1+L155/10)/(0.16*(2000+K155*100))))/10))</f>
        <v>-6.3397946233864113</v>
      </c>
      <c r="P155" s="7">
        <f>IF(N155="",0,IF(EXACT(RIGHT(N155,2),"dB"),IF(ABS(VALUE(LEFT(N155,FIND(" ",N155,1)))-O155)&lt;=0.5,1,-1),-1))</f>
        <v>1</v>
      </c>
      <c r="Q155" s="18"/>
      <c r="R155" s="35">
        <f>(10^((100-3+10*LOG10(1/(4*PI()*(3+J155/2)^2)))/10)*COS((90-(30+L155*6))/180*PI()))/(10^((100+10*LOG10(1/(4*PI()*(3+J155/2)^2)))/10)+10^((100-3+10*LOG10(1/(4*PI()*(3+J155/2)^2)))/10))</f>
        <v>0.30499681215803442</v>
      </c>
      <c r="S155" s="7">
        <f>IF(Q155="",0,IF(ABS(VALUE(Q155)-R155)&lt;=0.05,1,-1))</f>
        <v>0</v>
      </c>
      <c r="T155" s="34">
        <v>-75.34</v>
      </c>
      <c r="U155" s="76">
        <f>10*LOG10(10^((100+10*LOG10(1/(4*PI()*(3+J155/2)^2)))/10)+10^((100-3+10*LOG10(1/(4*PI()*(3+J155/2)^2)))/10)+10^((100+10*LOG10(4*(1+L155/10)/(0.16*(2000+K155*100))))/10))-100+31</f>
        <v>13.45613003647037</v>
      </c>
      <c r="V155" s="7">
        <f>IF(T155="",0,IF(EXACT(RIGHT(T155,2),"dB"),IF(ABS(VALUE(LEFT(T155,FIND(" ",T155,1)))-U155)&lt;=0.5,1,-1),-1))</f>
        <v>-1</v>
      </c>
      <c r="W155" s="59" t="s">
        <v>861</v>
      </c>
      <c r="X155" s="35">
        <f>(0.5+L155/20)/(1+10^(-(5+K155)/10))</f>
        <v>0.76181862317263693</v>
      </c>
      <c r="Y155" s="7">
        <v>-1</v>
      </c>
      <c r="Z155" s="36" t="s">
        <v>862</v>
      </c>
      <c r="AA155" s="76">
        <f>10*LOG10(1+((100+K155*10+L155)*(0.5+J155/20))/((0.1+J155/100)*(6*(5+L155/2)^2)))</f>
        <v>5.3426414085623115</v>
      </c>
      <c r="AB155" s="7">
        <f>IF(Z155="",0,IF(EXACT(RIGHT(Z155,2),"dB"),IF(ABS(VALUE(LEFT(Z155,FIND(" ",Z155,1)))-AA155)&lt;=0.5,1,-1),-1))</f>
        <v>-1</v>
      </c>
      <c r="AC155" s="34">
        <v>0.6</v>
      </c>
      <c r="AD155" s="35">
        <f>0.3+L155/30+0.1</f>
        <v>0.6</v>
      </c>
      <c r="AE155" s="7">
        <f>IF(AC155="",0,IF(ABS(VALUE(AC155)-AD155)&lt;=0.05,1,-1))</f>
        <v>1</v>
      </c>
      <c r="AF155" s="34">
        <v>0.4</v>
      </c>
      <c r="AG155" s="35">
        <f>1-AD155</f>
        <v>0.4</v>
      </c>
      <c r="AH155" s="7">
        <f>IF(AF155="",0,IF(ABS(VALUE(AF155)-AG155)&lt;=0.05,1,-1))</f>
        <v>1</v>
      </c>
      <c r="AI155" s="18"/>
      <c r="AJ155" s="76">
        <f>-10*LOG10(1-(0.3+K155/20))</f>
        <v>5.2287874528033749</v>
      </c>
      <c r="AK155" s="7">
        <f>IF(AI155="",0,IF(EXACT(RIGHT(AI155,2),"dB"),IF(ABS(ABS(VALUE(LEFT(AI155,FIND(" ",AI155,1))))-AJ155)&lt;=0.5,1,-1),-1))</f>
        <v>0</v>
      </c>
      <c r="AL155" s="34">
        <v>0.94099999999999995</v>
      </c>
      <c r="AM155" s="35">
        <f>((0.16*(200+K155*10+L155)/(2+K155/10))-0.16*(200+K155*10+L155)/(6+L155/10))/10</f>
        <v>0.94095238095238076</v>
      </c>
      <c r="AN155" s="7">
        <f>IF(AL155="",0,IF(ABS(VALUE(AL155)-AM155)&lt;=0.05,1,-1))</f>
        <v>1</v>
      </c>
      <c r="AO155" s="34" t="s">
        <v>863</v>
      </c>
      <c r="AP155" s="35">
        <f>((0.16*(200+K155*10+L155)/(2+K155/10))-0.16*(200+K155*10+L155)/(6+L155/10))/(10+J155)</f>
        <v>0.588095238095238</v>
      </c>
      <c r="AQ155" s="7">
        <f>IF(AO155="",0,IF(EXACT(RIGHT(AO155,2),"m2"),IF(ABS(VALUE(LEFT(AO155,FIND(" ",AO155,1)))-AP155)&lt;=0.05,1,-1),-1))</f>
        <v>1</v>
      </c>
      <c r="AR155" s="48">
        <f>M155+P155+S155+V155+Y155+AB155+AE155+AH155+AK155+AN155+AQ155</f>
        <v>4</v>
      </c>
    </row>
    <row r="156" spans="1:44" ht="12.75" x14ac:dyDescent="0.2">
      <c r="A156" s="32">
        <v>154</v>
      </c>
      <c r="B156" s="33">
        <v>41950.760984745371</v>
      </c>
      <c r="C156" s="34" t="s">
        <v>80</v>
      </c>
      <c r="D156" s="34" t="s">
        <v>81</v>
      </c>
      <c r="E156" s="17">
        <v>211410</v>
      </c>
      <c r="F156" s="6">
        <v>1</v>
      </c>
      <c r="G156" s="6">
        <f>INT(E156/100000)</f>
        <v>2</v>
      </c>
      <c r="H156" s="6">
        <f>INT(($E156-100000*G156)/10000)</f>
        <v>1</v>
      </c>
      <c r="I156" s="6">
        <f>INT(($E156-100000*G156-10000*H156)/1000)</f>
        <v>1</v>
      </c>
      <c r="J156" s="6">
        <f>INT(($E156-100000*$G156-10000*$H156-1000*$I156)/100)</f>
        <v>4</v>
      </c>
      <c r="K156" s="6">
        <f>INT(($E156-100000*$G156-10000*$H156-1000*$I156-100*$J156)/10)</f>
        <v>1</v>
      </c>
      <c r="L156" s="6">
        <f>INT(($E156-100000*$G156-10000*$H156-1000*$I156-100*$J156-10*$K156))</f>
        <v>0</v>
      </c>
      <c r="M156" s="7">
        <v>2</v>
      </c>
      <c r="N156" s="34" t="s">
        <v>82</v>
      </c>
      <c r="O156" s="76">
        <f>10*LOG10((10^((100+10*LOG10(1/(4*PI()*(3+J156/2)^2)))/10)+10^((100-3+10*LOG10(1/(4*PI()*(3+J156/2)^2)))/10))/10^((100+10*LOG10(4*(1+L156/10)/(0.16*(2000+K156*100))))/10))</f>
        <v>-3.9643572419576523</v>
      </c>
      <c r="P156" s="7">
        <f>IF(N156="",0,IF(EXACT(RIGHT(N156,2),"dB"),IF(ABS(VALUE(LEFT(N156,FIND(" ",N156,1)))-O156)&lt;=0.5,1,-1),-1))</f>
        <v>0</v>
      </c>
      <c r="Q156" s="18"/>
      <c r="R156" s="35">
        <f>(10^((100-3+10*LOG10(1/(4*PI()*(3+J156/2)^2)))/10)*COS((90-(30+L156*6))/180*PI()))/(10^((100+10*LOG10(1/(4*PI()*(3+J156/2)^2)))/10)+10^((100-3+10*LOG10(1/(4*PI()*(3+J156/2)^2)))/10))</f>
        <v>0.16693028770843893</v>
      </c>
      <c r="S156" s="7">
        <f>IF(Q156="",0,IF(ABS(VALUE(Q156)-R156)&lt;=0.05,1,-1))</f>
        <v>0</v>
      </c>
      <c r="T156" s="18"/>
      <c r="U156" s="76">
        <f>10*LOG10(10^((100+10*LOG10(1/(4*PI()*(3+J156/2)^2)))/10)+10^((100-3+10*LOG10(1/(4*PI()*(3+J156/2)^2)))/10)+10^((100+10*LOG10(4*(1+L156/10)/(0.16*(2000+K156*100))))/10))-100+31</f>
        <v>13.222790771230365</v>
      </c>
      <c r="V156" s="7">
        <f>IF(T156="",0,IF(EXACT(RIGHT(T156,2),"dB"),IF(ABS(VALUE(LEFT(T156,FIND(" ",T156,1)))-U156)&lt;=0.5,1,-1),-1))</f>
        <v>0</v>
      </c>
      <c r="W156" s="58">
        <v>0.39960000000000001</v>
      </c>
      <c r="X156" s="35">
        <f>(0.5+L156/20)/(1+10^(-(5+K156)/10))</f>
        <v>0.39961999554344912</v>
      </c>
      <c r="Y156" s="7">
        <f>IF(W156="",0,IF(ABS(VALUE(W156)-X156)&lt;=0.05,1,-1))</f>
        <v>1</v>
      </c>
      <c r="Z156" s="36" t="s">
        <v>84</v>
      </c>
      <c r="AA156" s="76">
        <f>10*LOG10(1+((100+K156*10+L156)*(0.5+J156/20))/((0.1+J156/100)*(6*(5+L156/2)^2)))</f>
        <v>6.6900678095857558</v>
      </c>
      <c r="AB156" s="7">
        <f>IF(Z156="",0,IF(EXACT(RIGHT(Z156,2),"dB"),IF(ABS(VALUE(LEFT(Z156,FIND(" ",Z156,1)))-AA156)&lt;=0.5,1,-1),-1))</f>
        <v>-1</v>
      </c>
      <c r="AC156" s="34">
        <v>0.4</v>
      </c>
      <c r="AD156" s="35">
        <f>0.3+L156/30+0.1</f>
        <v>0.4</v>
      </c>
      <c r="AE156" s="7">
        <f>IF(AC156="",0,IF(ABS(VALUE(AC156)-AD156)&lt;=0.05,1,-1))</f>
        <v>1</v>
      </c>
      <c r="AF156" s="34">
        <v>0.6</v>
      </c>
      <c r="AG156" s="35">
        <f>1-AD156</f>
        <v>0.6</v>
      </c>
      <c r="AH156" s="7">
        <f>IF(AF156="",0,IF(ABS(VALUE(AF156)-AG156)&lt;=0.05,1,-1))</f>
        <v>1</v>
      </c>
      <c r="AI156" s="36" t="s">
        <v>83</v>
      </c>
      <c r="AJ156" s="76">
        <f>-10*LOG10(1-(0.3+K156/20))</f>
        <v>1.8708664335714442</v>
      </c>
      <c r="AK156" s="7">
        <f>IF(AI156="",0,IF(EXACT(RIGHT(AI156,2),"dB"),IF(ABS(ABS(VALUE(LEFT(AI156,FIND(" ",AI156,1))))-AJ156)&lt;=0.5,1,-1),-1))</f>
        <v>-1</v>
      </c>
      <c r="AL156" s="34">
        <v>1.04</v>
      </c>
      <c r="AM156" s="35">
        <f>((0.16*(200+K156*10+L156)/(2+K156/10))-0.16*(200+K156*10+L156)/(6+L156/10))/10</f>
        <v>1.0399999999999998</v>
      </c>
      <c r="AN156" s="7">
        <f>IF(AL156="",0,IF(ABS(VALUE(AL156)-AM156)&lt;=0.05,1,-1))</f>
        <v>1</v>
      </c>
      <c r="AO156" s="34" t="s">
        <v>1021</v>
      </c>
      <c r="AP156" s="35">
        <f>((0.16*(200+K156*10+L156)/(2+K156/10))-0.16*(200+K156*10+L156)/(6+L156/10))/(10+J156)</f>
        <v>0.74285714285714277</v>
      </c>
      <c r="AQ156" s="7">
        <f>IF(AO156="",0,IF(EXACT(RIGHT(AO156,2),"m2"),IF(ABS(VALUE(LEFT(AO156,FIND(" ",AO156,1)))-AP156)&lt;=0.05,1,-1),-1))</f>
        <v>-1</v>
      </c>
      <c r="AR156" s="48">
        <f>M156+P156+S156+V156+Y156+AB156+AE156+AH156+AK156+AN156+AQ156</f>
        <v>3</v>
      </c>
    </row>
    <row r="157" spans="1:44" ht="12.75" x14ac:dyDescent="0.2">
      <c r="A157" s="32">
        <v>155</v>
      </c>
      <c r="B157" s="33">
        <v>41950.763977407405</v>
      </c>
      <c r="C157" s="34" t="s">
        <v>117</v>
      </c>
      <c r="D157" s="34" t="s">
        <v>118</v>
      </c>
      <c r="E157" s="17">
        <v>244427</v>
      </c>
      <c r="F157" s="6">
        <v>1</v>
      </c>
      <c r="G157" s="6">
        <f>INT(E157/100000)</f>
        <v>2</v>
      </c>
      <c r="H157" s="6">
        <f>INT(($E157-100000*G157)/10000)</f>
        <v>4</v>
      </c>
      <c r="I157" s="6">
        <f>INT(($E157-100000*G157-10000*H157)/1000)</f>
        <v>4</v>
      </c>
      <c r="J157" s="6">
        <f>INT(($E157-100000*$G157-10000*$H157-1000*$I157)/100)</f>
        <v>4</v>
      </c>
      <c r="K157" s="6">
        <f>INT(($E157-100000*$G157-10000*$H157-1000*$I157-100*$J157)/10)</f>
        <v>2</v>
      </c>
      <c r="L157" s="6">
        <f>INT(($E157-100000*$G157-10000*$H157-1000*$I157-100*$J157-10*$K157))</f>
        <v>7</v>
      </c>
      <c r="M157" s="7">
        <v>2</v>
      </c>
      <c r="N157" s="18"/>
      <c r="O157" s="76">
        <f>10*LOG10((10^((100+10*LOG10(1/(4*PI()*(3+J157/2)^2)))/10)+10^((100-3+10*LOG10(1/(4*PI()*(3+J157/2)^2)))/10))/10^((100+10*LOG10(4*(1+L157/10)/(0.16*(2000+K157*100))))/10))</f>
        <v>-6.0668125948575273</v>
      </c>
      <c r="P157" s="7">
        <f>IF(N157="",0,IF(EXACT(RIGHT(N157,2),"dB"),IF(ABS(VALUE(LEFT(N157,FIND(" ",N157,1)))-O157)&lt;=0.5,1,-1),-1))</f>
        <v>0</v>
      </c>
      <c r="Q157" s="18"/>
      <c r="R157" s="35">
        <f>(10^((100-3+10*LOG10(1/(4*PI()*(3+J157/2)^2)))/10)*COS((90-(30+L157*6))/180*PI()))/(10^((100+10*LOG10(1/(4*PI()*(3+J157/2)^2)))/10)+10^((100-3+10*LOG10(1/(4*PI()*(3+J157/2)^2)))/10))</f>
        <v>0.31752027578427117</v>
      </c>
      <c r="S157" s="7">
        <f>IF(Q157="",0,IF(ABS(VALUE(Q157)-R157)&lt;=0.05,1,-1))</f>
        <v>0</v>
      </c>
      <c r="T157" s="18"/>
      <c r="U157" s="76">
        <f>10*LOG10(10^((100+10*LOG10(1/(4*PI()*(3+J157/2)^2)))/10)+10^((100-3+10*LOG10(1/(4*PI()*(3+J157/2)^2)))/10)+10^((100+10*LOG10(4*(1+L157/10)/(0.16*(2000+K157*100))))/10))-100+31</f>
        <v>14.819559341765952</v>
      </c>
      <c r="V157" s="7">
        <f>IF(T157="",0,IF(EXACT(RIGHT(T157,2),"dB"),IF(ABS(VALUE(LEFT(T157,FIND(" ",T157,1)))-U157)&lt;=0.5,1,-1),-1))</f>
        <v>0</v>
      </c>
      <c r="W157" s="59" t="s">
        <v>119</v>
      </c>
      <c r="X157" s="35">
        <f>(0.5+L157/20)/(1+10^(-(5+K157)/10))</f>
        <v>0.70861309880592238</v>
      </c>
      <c r="Y157" s="7">
        <v>-1</v>
      </c>
      <c r="Z157" s="18"/>
      <c r="AA157" s="76">
        <f>10*LOG10(1+((100+K157*10+L157)*(0.5+J157/20))/((0.1+J157/100)*(6*(5+L157/2)^2)))</f>
        <v>3.9178542468785906</v>
      </c>
      <c r="AB157" s="7">
        <f>IF(Z157="",0,IF(EXACT(RIGHT(Z157,2),"dB"),IF(ABS(VALUE(LEFT(Z157,FIND(" ",Z157,1)))-AA157)&lt;=0.5,1,-1),-1))</f>
        <v>0</v>
      </c>
      <c r="AC157" s="34">
        <v>0.6</v>
      </c>
      <c r="AD157" s="35">
        <f>0.3+L157/30+0.1</f>
        <v>0.6333333333333333</v>
      </c>
      <c r="AE157" s="7">
        <f>IF(AC157="",0,IF(ABS(VALUE(AC157)-AD157)&lt;=0.05,1,-1))</f>
        <v>1</v>
      </c>
      <c r="AF157" s="34">
        <v>0.4</v>
      </c>
      <c r="AG157" s="35">
        <f>1-AD157</f>
        <v>0.3666666666666667</v>
      </c>
      <c r="AH157" s="7">
        <f>IF(AF157="",0,IF(ABS(VALUE(AF157)-AG157)&lt;=0.05,1,-1))</f>
        <v>1</v>
      </c>
      <c r="AI157" s="34" t="s">
        <v>120</v>
      </c>
      <c r="AJ157" s="76">
        <f>-10*LOG10(1-(0.3+K157/20))</f>
        <v>2.2184874961635641</v>
      </c>
      <c r="AK157" s="7">
        <f>IF(AI157="",0,IF(EXACT(RIGHT(AI157,2),"dB"),IF(ABS(ABS(VALUE(LEFT(AI157,FIND(" ",AI157,1))))-AJ157)&lt;=0.5,1,-1),-1))</f>
        <v>1</v>
      </c>
      <c r="AL157" s="34">
        <v>2.19</v>
      </c>
      <c r="AM157" s="35">
        <f>((0.16*(200+K157*10+L157)/(2+K157/10))-0.16*(200+K157*10+L157)/(6+L157/10))/10</f>
        <v>1.1088195386702848</v>
      </c>
      <c r="AN157" s="7">
        <f>IF(AL157="",0,IF(ABS(VALUE(AL157)-AM157)&lt;=0.05,1,-1))</f>
        <v>-1</v>
      </c>
      <c r="AO157" s="18"/>
      <c r="AP157" s="35">
        <f>((0.16*(200+K157*10+L157)/(2+K157/10))-0.16*(200+K157*10+L157)/(6+L157/10))/(10+J157)</f>
        <v>0.79201395619306059</v>
      </c>
      <c r="AQ157" s="7">
        <f>IF(AO157="",0,IF(EXACT(RIGHT(AO157,2),"m2"),IF(ABS(VALUE(LEFT(AO157,FIND(" ",AO157,1)))-AP157)&lt;=0.05,1,-1),-1))</f>
        <v>0</v>
      </c>
      <c r="AR157" s="48">
        <f>M157+P157+S157+V157+Y157+AB157+AE157+AH157+AK157+AN157+AQ157</f>
        <v>3</v>
      </c>
    </row>
    <row r="158" spans="1:44" ht="12.75" x14ac:dyDescent="0.2">
      <c r="A158" s="32">
        <v>156</v>
      </c>
      <c r="B158" s="33">
        <v>41950.76484773148</v>
      </c>
      <c r="C158" s="34" t="s">
        <v>53</v>
      </c>
      <c r="D158" s="34" t="s">
        <v>54</v>
      </c>
      <c r="E158" s="17">
        <v>242500</v>
      </c>
      <c r="F158" s="6">
        <v>1</v>
      </c>
      <c r="G158" s="6">
        <f>INT(E158/100000)</f>
        <v>2</v>
      </c>
      <c r="H158" s="6">
        <f>INT(($E158-100000*G158)/10000)</f>
        <v>4</v>
      </c>
      <c r="I158" s="6">
        <f>INT(($E158-100000*G158-10000*H158)/1000)</f>
        <v>2</v>
      </c>
      <c r="J158" s="6">
        <f>INT(($E158-100000*$G158-10000*$H158-1000*$I158)/100)</f>
        <v>5</v>
      </c>
      <c r="K158" s="6">
        <f>INT(($E158-100000*$G158-10000*$H158-1000*$I158-100*$J158)/10)</f>
        <v>0</v>
      </c>
      <c r="L158" s="6">
        <f>INT(($E158-100000*$G158-10000*$H158-1000*$I158-100*$J158-10*$K158))</f>
        <v>0</v>
      </c>
      <c r="M158" s="7">
        <v>2</v>
      </c>
      <c r="N158" s="18"/>
      <c r="O158" s="76">
        <f>10*LOG10((10^((100+10*LOG10(1/(4*PI()*(3+J158/2)^2)))/10)+10^((100-3+10*LOG10(1/(4*PI()*(3+J158/2)^2)))/10))/10^((100+10*LOG10(4*(1+L158/10)/(0.16*(2000+K158*100))))/10))</f>
        <v>-5.0041039358215409</v>
      </c>
      <c r="P158" s="7">
        <f>IF(N158="",0,IF(EXACT(RIGHT(N158,2),"dB"),IF(ABS(VALUE(LEFT(N158,FIND(" ",N158,1)))-O158)&lt;=0.5,1,-1),-1))</f>
        <v>0</v>
      </c>
      <c r="Q158" s="18"/>
      <c r="R158" s="35">
        <f>(10^((100-3+10*LOG10(1/(4*PI()*(3+J158/2)^2)))/10)*COS((90-(30+L158*6))/180*PI()))/(10^((100+10*LOG10(1/(4*PI()*(3+J158/2)^2)))/10)+10^((100-3+10*LOG10(1/(4*PI()*(3+J158/2)^2)))/10))</f>
        <v>0.16693028770843893</v>
      </c>
      <c r="S158" s="7">
        <f>IF(Q158="",0,IF(ABS(VALUE(Q158)-R158)&lt;=0.05,1,-1))</f>
        <v>0</v>
      </c>
      <c r="T158" s="18"/>
      <c r="U158" s="76">
        <f>10*LOG10(10^((100+10*LOG10(1/(4*PI()*(3+J158/2)^2)))/10)+10^((100-3+10*LOG10(1/(4*PI()*(3+J158/2)^2)))/10)+10^((100+10*LOG10(4*(1+L158/10)/(0.16*(2000+K158*100))))/10))-100+31</f>
        <v>13.161424981425611</v>
      </c>
      <c r="V158" s="7">
        <f>IF(T158="",0,IF(EXACT(RIGHT(T158,2),"dB"),IF(ABS(VALUE(LEFT(T158,FIND(" ",T158,1)))-U158)&lt;=0.5,1,-1),-1))</f>
        <v>0</v>
      </c>
      <c r="W158" s="59" t="s">
        <v>55</v>
      </c>
      <c r="X158" s="35">
        <f>(0.5+L158/20)/(1+10^(-(5+K158)/10))</f>
        <v>0.37987346332397892</v>
      </c>
      <c r="Y158" s="7">
        <v>-1</v>
      </c>
      <c r="Z158" s="34" t="s">
        <v>57</v>
      </c>
      <c r="AA158" s="76">
        <f>10*LOG10(1+((100+K158*10+L158)*(0.5+J158/20))/((0.1+J158/100)*(6*(5+L158/2)^2)))</f>
        <v>6.3682209758717425</v>
      </c>
      <c r="AB158" s="7">
        <f>IF(Z158="",0,IF(EXACT(RIGHT(Z158,2),"dB"),IF(ABS(VALUE(LEFT(Z158,FIND(" ",Z158,1)))-AA158)&lt;=0.5,1,-1),-1))</f>
        <v>-1</v>
      </c>
      <c r="AC158" s="34">
        <v>0.4</v>
      </c>
      <c r="AD158" s="35">
        <f>0.3+L158/30+0.1</f>
        <v>0.4</v>
      </c>
      <c r="AE158" s="7">
        <f>IF(AC158="",0,IF(ABS(VALUE(AC158)-AD158)&lt;=0.05,1,-1))</f>
        <v>1</v>
      </c>
      <c r="AF158" s="34">
        <v>0.6</v>
      </c>
      <c r="AG158" s="35">
        <f>1-AD158</f>
        <v>0.6</v>
      </c>
      <c r="AH158" s="7">
        <f>IF(AF158="",0,IF(ABS(VALUE(AF158)-AG158)&lt;=0.05,1,-1))</f>
        <v>1</v>
      </c>
      <c r="AI158" s="36" t="s">
        <v>56</v>
      </c>
      <c r="AJ158" s="76">
        <f>-10*LOG10(1-(0.3+K158/20))</f>
        <v>1.5490195998574319</v>
      </c>
      <c r="AK158" s="7">
        <f>IF(AI158="",0,IF(EXACT(RIGHT(AI158,2),"dB"),IF(ABS(ABS(VALUE(LEFT(AI158,FIND(" ",AI158,1))))-AJ158)&lt;=0.5,1,-1),-1))</f>
        <v>1</v>
      </c>
      <c r="AL158" s="34">
        <v>1.06</v>
      </c>
      <c r="AM158" s="35">
        <f>((0.16*(200+K158*10+L158)/(2+K158/10))-0.16*(200+K158*10+L158)/(6+L158/10))/10</f>
        <v>1.0666666666666669</v>
      </c>
      <c r="AN158" s="7">
        <f>IF(AL158="",0,IF(ABS(VALUE(AL158)-AM158)&lt;=0.05,1,-1))</f>
        <v>1</v>
      </c>
      <c r="AO158" s="34" t="s">
        <v>58</v>
      </c>
      <c r="AP158" s="35">
        <f>((0.16*(200+K158*10+L158)/(2+K158/10))-0.16*(200+K158*10+L158)/(6+L158/10))/(10+J158)</f>
        <v>0.71111111111111114</v>
      </c>
      <c r="AQ158" s="7">
        <f>IF(AO158="",0,IF(EXACT(RIGHT(AO158,2),"m2"),IF(ABS(VALUE(LEFT(AO158,FIND(" ",AO158,1)))-AP158)&lt;=0.05,1,-1),-1))</f>
        <v>-1</v>
      </c>
      <c r="AR158" s="48">
        <f>M158+P158+S158+V158+Y158+AB158+AE158+AH158+AK158+AN158+AQ158</f>
        <v>3</v>
      </c>
    </row>
    <row r="159" spans="1:44" ht="12.75" x14ac:dyDescent="0.2">
      <c r="A159" s="32">
        <v>157</v>
      </c>
      <c r="B159" s="33">
        <v>41950.767511157406</v>
      </c>
      <c r="C159" s="34" t="s">
        <v>327</v>
      </c>
      <c r="D159" s="34" t="s">
        <v>328</v>
      </c>
      <c r="E159" s="17">
        <v>20389</v>
      </c>
      <c r="F159" s="6">
        <v>1</v>
      </c>
      <c r="G159" s="6">
        <f>INT(E159/100000)</f>
        <v>0</v>
      </c>
      <c r="H159" s="6">
        <f>INT(($E159-100000*G159)/10000)</f>
        <v>2</v>
      </c>
      <c r="I159" s="6">
        <f>INT(($E159-100000*G159-10000*H159)/1000)</f>
        <v>0</v>
      </c>
      <c r="J159" s="6">
        <f>INT(($E159-100000*$G159-10000*$H159-1000*$I159)/100)</f>
        <v>3</v>
      </c>
      <c r="K159" s="6">
        <f>INT(($E159-100000*$G159-10000*$H159-1000*$I159-100*$J159)/10)</f>
        <v>8</v>
      </c>
      <c r="L159" s="6">
        <f>INT(($E159-100000*$G159-10000*$H159-1000*$I159-100*$J159-10*$K159))</f>
        <v>9</v>
      </c>
      <c r="M159" s="7">
        <v>2</v>
      </c>
      <c r="N159" s="36" t="s">
        <v>329</v>
      </c>
      <c r="O159" s="76">
        <f>10*LOG10((10^((100+10*LOG10(1/(4*PI()*(3+J159/2)^2)))/10)+10^((100-3+10*LOG10(1/(4*PI()*(3+J159/2)^2)))/10))/10^((100+10*LOG10(4*(1+L159/10)/(0.16*(2000+K159*100))))/10))</f>
        <v>-4.5873560741894579</v>
      </c>
      <c r="P159" s="7">
        <f>IF(N159="",0,IF(EXACT(RIGHT(N159,2),"dB"),IF(ABS(VALUE(LEFT(N159,FIND(" ",N159,1)))-O159)&lt;=0.5,1,-1),-1))</f>
        <v>-1</v>
      </c>
      <c r="Q159" s="34">
        <v>0.33</v>
      </c>
      <c r="R159" s="35">
        <f>(10^((100-3+10*LOG10(1/(4*PI()*(3+J159/2)^2)))/10)*COS((90-(30+L159*6))/180*PI()))/(10^((100+10*LOG10(1/(4*PI()*(3+J159/2)^2)))/10)+10^((100-3+10*LOG10(1/(4*PI()*(3+J159/2)^2)))/10))</f>
        <v>0.33203165225233561</v>
      </c>
      <c r="S159" s="7">
        <f>IF(Q159="",0,IF(ABS(VALUE(Q159)-R159)&lt;=0.05,1,-1))</f>
        <v>1</v>
      </c>
      <c r="T159" s="34" t="s">
        <v>330</v>
      </c>
      <c r="U159" s="76">
        <f>10*LOG10(10^((100+10*LOG10(1/(4*PI()*(3+J159/2)^2)))/10)+10^((100-3+10*LOG10(1/(4*PI()*(3+J159/2)^2)))/10)+10^((100+10*LOG10(4*(1+L159/10)/(0.16*(2000+K159*100))))/10))-100+31</f>
        <v>14.59144210233417</v>
      </c>
      <c r="V159" s="7">
        <f>IF(T159="",0,IF(EXACT(RIGHT(T159,2),"dB"),IF(ABS(VALUE(LEFT(T159,FIND(" ",T159,1)))-U159)&lt;=0.5,1,-1),-1))</f>
        <v>-1</v>
      </c>
      <c r="W159" s="60"/>
      <c r="X159" s="35">
        <f>(0.5+L159/20)/(1+10^(-(5+K159)/10))</f>
        <v>0.90465961501750636</v>
      </c>
      <c r="Y159" s="7">
        <f>IF(W159="",0,IF(ABS(VALUE(W159)-X159)&lt;=0.05,1,-1))</f>
        <v>0</v>
      </c>
      <c r="Z159" s="36" t="s">
        <v>331</v>
      </c>
      <c r="AA159" s="76">
        <f>10*LOG10(1+((100+K159*10+L159)*(0.5+J159/20))/((0.1+J159/100)*(6*(5+L159/2)^2)))</f>
        <v>4.3856645257961748</v>
      </c>
      <c r="AB159" s="7">
        <f>IF(Z159="",0,IF(EXACT(RIGHT(Z159,2),"dB"),IF(ABS(VALUE(LEFT(Z159,FIND(" ",Z159,1)))-AA159)&lt;=0.5,1,-1),-1))</f>
        <v>1</v>
      </c>
      <c r="AC159" s="34">
        <v>0.66</v>
      </c>
      <c r="AD159" s="35">
        <f>0.3+L159/30+0.1</f>
        <v>0.7</v>
      </c>
      <c r="AE159" s="7">
        <f>IF(AC159="",0,IF(ABS(VALUE(AC159)-AD159)&lt;=0.05,1,-1))</f>
        <v>1</v>
      </c>
      <c r="AF159" s="36" t="s">
        <v>332</v>
      </c>
      <c r="AG159" s="35">
        <f>1-AD159</f>
        <v>0.30000000000000004</v>
      </c>
      <c r="AH159" s="7">
        <v>-1</v>
      </c>
      <c r="AI159" s="18"/>
      <c r="AJ159" s="76">
        <f>-10*LOG10(1-(0.3+K159/20))</f>
        <v>5.2287874528033749</v>
      </c>
      <c r="AK159" s="7">
        <f>IF(AI159="",0,IF(EXACT(RIGHT(AI159,2),"dB"),IF(ABS(ABS(VALUE(LEFT(AI159,FIND(" ",AI159,1))))-AJ159)&lt;=0.5,1,-1),-1))</f>
        <v>0</v>
      </c>
      <c r="AL159" s="34">
        <v>0.95</v>
      </c>
      <c r="AM159" s="35">
        <f>((0.16*(200+K159*10+L159)/(2+K159/10))-0.16*(200+K159*10+L159)/(6+L159/10))/10</f>
        <v>0.9812836438923398</v>
      </c>
      <c r="AN159" s="7">
        <f>IF(AL159="",0,IF(ABS(VALUE(AL159)-AM159)&lt;=0.05,1,-1))</f>
        <v>1</v>
      </c>
      <c r="AO159" s="18"/>
      <c r="AP159" s="35">
        <f>((0.16*(200+K159*10+L159)/(2+K159/10))-0.16*(200+K159*10+L159)/(6+L159/10))/(10+J159)</f>
        <v>0.75483357222487679</v>
      </c>
      <c r="AQ159" s="7">
        <f>IF(AO159="",0,IF(EXACT(RIGHT(AO159,2),"m2"),IF(ABS(VALUE(LEFT(AO159,FIND(" ",AO159,1)))-AP159)&lt;=0.05,1,-1),-1))</f>
        <v>0</v>
      </c>
      <c r="AR159" s="48">
        <f>M159+P159+S159+V159+Y159+AB159+AE159+AH159+AK159+AN159+AQ159</f>
        <v>3</v>
      </c>
    </row>
    <row r="160" spans="1:44" ht="12.75" x14ac:dyDescent="0.2">
      <c r="A160" s="32">
        <v>158</v>
      </c>
      <c r="B160" s="33">
        <v>41950.76891175926</v>
      </c>
      <c r="C160" s="34" t="s">
        <v>489</v>
      </c>
      <c r="D160" s="34" t="s">
        <v>490</v>
      </c>
      <c r="E160" s="17">
        <v>243616</v>
      </c>
      <c r="F160" s="6">
        <v>1</v>
      </c>
      <c r="G160" s="6">
        <f>INT(E160/100000)</f>
        <v>2</v>
      </c>
      <c r="H160" s="6">
        <f>INT(($E160-100000*G160)/10000)</f>
        <v>4</v>
      </c>
      <c r="I160" s="6">
        <f>INT(($E160-100000*G160-10000*H160)/1000)</f>
        <v>3</v>
      </c>
      <c r="J160" s="6">
        <f>INT(($E160-100000*$G160-10000*$H160-1000*$I160)/100)</f>
        <v>6</v>
      </c>
      <c r="K160" s="6">
        <f>INT(($E160-100000*$G160-10000*$H160-1000*$I160-100*$J160)/10)</f>
        <v>1</v>
      </c>
      <c r="L160" s="6">
        <f>INT(($E160-100000*$G160-10000*$H160-1000*$I160-100*$J160-10*$K160))</f>
        <v>6</v>
      </c>
      <c r="M160" s="7">
        <v>2</v>
      </c>
      <c r="N160" s="18"/>
      <c r="O160" s="76">
        <f>10*LOG10((10^((100+10*LOG10(1/(4*PI()*(3+J160/2)^2)))/10)+10^((100-3+10*LOG10(1/(4*PI()*(3+J160/2)^2)))/10))/10^((100+10*LOG10(4*(1+L160/10)/(0.16*(2000+K160*100))))/10))</f>
        <v>-7.5891819894694059</v>
      </c>
      <c r="P160" s="7">
        <f>IF(N160="",0,IF(EXACT(RIGHT(N160,2),"dB"),IF(ABS(VALUE(LEFT(N160,FIND(" ",N160,1)))-O160)&lt;=0.5,1,-1),-1))</f>
        <v>0</v>
      </c>
      <c r="Q160" s="18"/>
      <c r="R160" s="35">
        <f>(10^((100-3+10*LOG10(1/(4*PI()*(3+J160/2)^2)))/10)*COS((90-(30+L160*6))/180*PI()))/(10^((100+10*LOG10(1/(4*PI()*(3+J160/2)^2)))/10)+10^((100-3+10*LOG10(1/(4*PI()*(3+J160/2)^2)))/10))</f>
        <v>0.30499681215803442</v>
      </c>
      <c r="S160" s="7">
        <f>IF(Q160="",0,IF(ABS(VALUE(Q160)-R160)&lt;=0.05,1,-1))</f>
        <v>0</v>
      </c>
      <c r="T160" s="18"/>
      <c r="U160" s="76">
        <f>10*LOG10(10^((100+10*LOG10(1/(4*PI()*(3+J160/2)^2)))/10)+10^((100-3+10*LOG10(1/(4*PI()*(3+J160/2)^2)))/10)+10^((100+10*LOG10(4*(1+L160/10)/(0.16*(2000+K160*100))))/10))-100+31</f>
        <v>14.495877650474171</v>
      </c>
      <c r="V160" s="7">
        <f>IF(T160="",0,IF(EXACT(RIGHT(T160,2),"dB"),IF(ABS(VALUE(LEFT(T160,FIND(" ",T160,1)))-U160)&lt;=0.5,1,-1),-1))</f>
        <v>0</v>
      </c>
      <c r="W160" s="58">
        <v>0.63900000000000001</v>
      </c>
      <c r="X160" s="35">
        <f>(0.5+L160/20)/(1+10^(-(5+K160)/10))</f>
        <v>0.63939199286951864</v>
      </c>
      <c r="Y160" s="7">
        <f>IF(W160="",0,IF(ABS(VALUE(W160)-X160)&lt;=0.05,1,-1))</f>
        <v>1</v>
      </c>
      <c r="Z160" s="34" t="s">
        <v>492</v>
      </c>
      <c r="AA160" s="76">
        <f>10*LOG10(1+((100+K160*10+L160)*(0.5+J160/20))/((0.1+J160/100)*(6*(5+L160/2)^2)))</f>
        <v>3.9974580953530001</v>
      </c>
      <c r="AB160" s="7">
        <f>IF(Z160="",0,IF(EXACT(RIGHT(Z160,2),"dB"),IF(ABS(VALUE(LEFT(Z160,FIND(" ",Z160,1)))-AA160)&lt;=0.5,1,-1),-1))</f>
        <v>1</v>
      </c>
      <c r="AC160" s="34">
        <v>0.6</v>
      </c>
      <c r="AD160" s="35">
        <f>0.3+L160/30+0.1</f>
        <v>0.6</v>
      </c>
      <c r="AE160" s="7">
        <f>IF(AC160="",0,IF(ABS(VALUE(AC160)-AD160)&lt;=0.05,1,-1))</f>
        <v>1</v>
      </c>
      <c r="AF160" s="34">
        <v>0.4</v>
      </c>
      <c r="AG160" s="35">
        <f>1-AD160</f>
        <v>0.4</v>
      </c>
      <c r="AH160" s="7">
        <f>IF(AF160="",0,IF(ABS(VALUE(AF160)-AG160)&lt;=0.05,1,-1))</f>
        <v>1</v>
      </c>
      <c r="AI160" s="34" t="s">
        <v>491</v>
      </c>
      <c r="AJ160" s="76">
        <f>-10*LOG10(1-(0.3+K160/20))</f>
        <v>1.8708664335714442</v>
      </c>
      <c r="AK160" s="7">
        <f>IF(AI160="",0,IF(EXACT(RIGHT(AI160,2),"dB"),IF(ABS(ABS(VALUE(LEFT(AI160,FIND(" ",AI160,1))))-AJ160)&lt;=0.5,1,-1),-1))</f>
        <v>-1</v>
      </c>
      <c r="AL160" s="34">
        <v>6.6879999999999997</v>
      </c>
      <c r="AM160" s="35">
        <f>((0.16*(200+K160*10+L160)/(2+K160/10))-0.16*(200+K160*10+L160)/(6+L160/10))/10</f>
        <v>1.122077922077922</v>
      </c>
      <c r="AN160" s="7">
        <f>IF(AL160="",0,IF(ABS(VALUE(AL160)-AM160)&lt;=0.05,1,-1))</f>
        <v>-1</v>
      </c>
      <c r="AO160" s="34" t="s">
        <v>493</v>
      </c>
      <c r="AP160" s="35">
        <f>((0.16*(200+K160*10+L160)/(2+K160/10))-0.16*(200+K160*10+L160)/(6+L160/10))/(10+J160)</f>
        <v>0.70129870129870131</v>
      </c>
      <c r="AQ160" s="7">
        <f>IF(AO160="",0,IF(EXACT(RIGHT(AO160,2),"m2"),IF(ABS(VALUE(LEFT(AO160,FIND(" ",AO160,1)))-AP160)&lt;=0.05,1,-1),-1))</f>
        <v>-1</v>
      </c>
      <c r="AR160" s="48">
        <f>M160+P160+S160+V160+Y160+AB160+AE160+AH160+AK160+AN160+AQ160</f>
        <v>3</v>
      </c>
    </row>
    <row r="161" spans="1:44" ht="12.75" x14ac:dyDescent="0.2">
      <c r="A161" s="32">
        <v>159</v>
      </c>
      <c r="B161" s="33">
        <v>41950.769174664347</v>
      </c>
      <c r="C161" s="34" t="s">
        <v>409</v>
      </c>
      <c r="D161" s="34" t="s">
        <v>410</v>
      </c>
      <c r="E161" s="17">
        <v>90991</v>
      </c>
      <c r="F161" s="6">
        <v>1</v>
      </c>
      <c r="G161" s="6">
        <f>INT(E161/100000)</f>
        <v>0</v>
      </c>
      <c r="H161" s="6">
        <f>INT(($E161-100000*G161)/10000)</f>
        <v>9</v>
      </c>
      <c r="I161" s="6">
        <f>INT(($E161-100000*G161-10000*H161)/1000)</f>
        <v>0</v>
      </c>
      <c r="J161" s="6">
        <f>INT(($E161-100000*$G161-10000*$H161-1000*$I161)/100)</f>
        <v>9</v>
      </c>
      <c r="K161" s="6">
        <f>INT(($E161-100000*$G161-10000*$H161-1000*$I161-100*$J161)/10)</f>
        <v>9</v>
      </c>
      <c r="L161" s="6">
        <f>INT(($E161-100000*$G161-10000*$H161-1000*$I161-100*$J161-10*$K161))</f>
        <v>1</v>
      </c>
      <c r="M161" s="7">
        <v>2</v>
      </c>
      <c r="N161" s="36" t="s">
        <v>411</v>
      </c>
      <c r="O161" s="76">
        <f>10*LOG10((10^((100+10*LOG10(1/(4*PI()*(3+J161/2)^2)))/10)+10^((100-3+10*LOG10(1/(4*PI()*(3+J161/2)^2)))/10))/10^((100+10*LOG10(4*(1+L161/10)/(0.16*(2000+K161*100))))/10))</f>
        <v>-6.4983222430031802</v>
      </c>
      <c r="P161" s="7">
        <f>IF(N161="",0,IF(EXACT(RIGHT(N161,2),"dB"),IF(ABS(VALUE(LEFT(N161,FIND(" ",N161,1)))-O161)&lt;=0.5,1,-1),-1))</f>
        <v>-1</v>
      </c>
      <c r="Q161" s="34">
        <v>0.19</v>
      </c>
      <c r="R161" s="35">
        <f>(10^((100-3+10*LOG10(1/(4*PI()*(3+J161/2)^2)))/10)*COS((90-(30+L161*6))/180*PI()))/(10^((100+10*LOG10(1/(4*PI()*(3+J161/2)^2)))/10)+10^((100-3+10*LOG10(1/(4*PI()*(3+J161/2)^2)))/10))</f>
        <v>0.19623832255191997</v>
      </c>
      <c r="S161" s="7">
        <f>IF(Q161="",0,IF(ABS(VALUE(Q161)-R161)&lt;=0.05,1,-1))</f>
        <v>1</v>
      </c>
      <c r="T161" s="34" t="s">
        <v>412</v>
      </c>
      <c r="U161" s="76">
        <f>10*LOG10(10^((100+10*LOG10(1/(4*PI()*(3+J161/2)^2)))/10)+10^((100-3+10*LOG10(1/(4*PI()*(3+J161/2)^2)))/10)+10^((100+10*LOG10(4*(1+L161/10)/(0.16*(2000+K161*100))))/10))-100+31</f>
        <v>11.647014299225958</v>
      </c>
      <c r="V161" s="7">
        <f>IF(T161="",0,IF(EXACT(RIGHT(T161,2),"dB"),IF(ABS(VALUE(LEFT(T161,FIND(" ",T161,1)))-U161)&lt;=0.5,1,-1),-1))</f>
        <v>-1</v>
      </c>
      <c r="W161" s="60"/>
      <c r="X161" s="35">
        <f>(0.5+L161/20)/(1+10^(-(5+K161)/10))</f>
        <v>0.52894242286476001</v>
      </c>
      <c r="Y161" s="7">
        <f>IF(W161="",0,IF(ABS(VALUE(W161)-X161)&lt;=0.05,1,-1))</f>
        <v>0</v>
      </c>
      <c r="Z161" s="34" t="s">
        <v>413</v>
      </c>
      <c r="AA161" s="76">
        <f>10*LOG10(1+((100+K161*10+L161)*(0.5+J161/20))/((0.1+J161/100)*(6*(5+L161/2)^2)))</f>
        <v>7.9669281068885835</v>
      </c>
      <c r="AB161" s="7">
        <f>IF(Z161="",0,IF(EXACT(RIGHT(Z161,2),"dB"),IF(ABS(VALUE(LEFT(Z161,FIND(" ",Z161,1)))-AA161)&lt;=0.5,1,-1),-1))</f>
        <v>-1</v>
      </c>
      <c r="AC161" s="34">
        <v>0.43</v>
      </c>
      <c r="AD161" s="35">
        <f>0.3+L161/30+0.1</f>
        <v>0.43333333333333335</v>
      </c>
      <c r="AE161" s="7">
        <f>IF(AC161="",0,IF(ABS(VALUE(AC161)-AD161)&lt;=0.05,1,-1))</f>
        <v>1</v>
      </c>
      <c r="AF161" s="34">
        <v>0.56999999999999995</v>
      </c>
      <c r="AG161" s="35">
        <f>1-AD161</f>
        <v>0.56666666666666665</v>
      </c>
      <c r="AH161" s="7">
        <f>IF(AF161="",0,IF(ABS(VALUE(AF161)-AG161)&lt;=0.05,1,-1))</f>
        <v>1</v>
      </c>
      <c r="AI161" s="18"/>
      <c r="AJ161" s="76">
        <f>-10*LOG10(1-(0.3+K161/20))</f>
        <v>6.0205999132796242</v>
      </c>
      <c r="AK161" s="7">
        <f>IF(AI161="",0,IF(EXACT(RIGHT(AI161,2),"dB"),IF(ABS(ABS(VALUE(LEFT(AI161,FIND(" ",AI161,1))))-AJ161)&lt;=0.5,1,-1),-1))</f>
        <v>0</v>
      </c>
      <c r="AL161" s="34">
        <v>0.84</v>
      </c>
      <c r="AM161" s="35">
        <f>((0.16*(200+K161*10+L161)/(2+K161/10))-0.16*(200+K161*10+L161)/(6+L161/10))/10</f>
        <v>0.84223855285472027</v>
      </c>
      <c r="AN161" s="7">
        <f>IF(AL161="",0,IF(ABS(VALUE(AL161)-AM161)&lt;=0.05,1,-1))</f>
        <v>1</v>
      </c>
      <c r="AO161" s="18"/>
      <c r="AP161" s="35">
        <f>((0.16*(200+K161*10+L161)/(2+K161/10))-0.16*(200+K161*10+L161)/(6+L161/10))/(10+J161)</f>
        <v>0.44328344887090543</v>
      </c>
      <c r="AQ161" s="7">
        <f>IF(AO161="",0,IF(EXACT(RIGHT(AO161,2),"m2"),IF(ABS(VALUE(LEFT(AO161,FIND(" ",AO161,1)))-AP161)&lt;=0.05,1,-1),-1))</f>
        <v>0</v>
      </c>
      <c r="AR161" s="48">
        <f>M161+P161+S161+V161+Y161+AB161+AE161+AH161+AK161+AN161+AQ161</f>
        <v>3</v>
      </c>
    </row>
    <row r="162" spans="1:44" ht="12.75" x14ac:dyDescent="0.2">
      <c r="A162" s="32">
        <v>160</v>
      </c>
      <c r="B162" s="33">
        <v>41950.76918758102</v>
      </c>
      <c r="C162" s="34" t="s">
        <v>541</v>
      </c>
      <c r="D162" s="34" t="s">
        <v>542</v>
      </c>
      <c r="E162" s="17">
        <v>231704</v>
      </c>
      <c r="F162" s="6">
        <v>1</v>
      </c>
      <c r="G162" s="6">
        <f>INT(E162/100000)</f>
        <v>2</v>
      </c>
      <c r="H162" s="6">
        <f>INT(($E162-100000*G162)/10000)</f>
        <v>3</v>
      </c>
      <c r="I162" s="6">
        <f>INT(($E162-100000*G162-10000*H162)/1000)</f>
        <v>1</v>
      </c>
      <c r="J162" s="6">
        <f>INT(($E162-100000*$G162-10000*$H162-1000*$I162)/100)</f>
        <v>7</v>
      </c>
      <c r="K162" s="6">
        <f>INT(($E162-100000*$G162-10000*$H162-1000*$I162-100*$J162)/10)</f>
        <v>0</v>
      </c>
      <c r="L162" s="6">
        <f>INT(($E162-100000*$G162-10000*$H162-1000*$I162-100*$J162-10*$K162))</f>
        <v>4</v>
      </c>
      <c r="M162" s="7">
        <v>2</v>
      </c>
      <c r="N162" s="18"/>
      <c r="O162" s="76">
        <f>10*LOG10((10^((100+10*LOG10(1/(4*PI()*(3+J162/2)^2)))/10)+10^((100-3+10*LOG10(1/(4*PI()*(3+J162/2)^2)))/10))/10^((100+10*LOG10(4*(1+L162/10)/(0.16*(2000+K162*100))))/10))</f>
        <v>-7.9163976355761729</v>
      </c>
      <c r="P162" s="7">
        <f>IF(N162="",0,IF(EXACT(RIGHT(N162,2),"dB"),IF(ABS(VALUE(LEFT(N162,FIND(" ",N162,1)))-O162)&lt;=0.5,1,-1),-1))</f>
        <v>0</v>
      </c>
      <c r="Q162" s="18"/>
      <c r="R162" s="35">
        <f>(10^((100-3+10*LOG10(1/(4*PI()*(3+J162/2)^2)))/10)*COS((90-(30+L162*6))/180*PI()))/(10^((100+10*LOG10(1/(4*PI()*(3+J162/2)^2)))/10)+10^((100-3+10*LOG10(1/(4*PI()*(3+J162/2)^2)))/10))</f>
        <v>0.27009887926405357</v>
      </c>
      <c r="S162" s="7">
        <f>IF(Q162="",0,IF(ABS(VALUE(Q162)-R162)&lt;=0.05,1,-1))</f>
        <v>0</v>
      </c>
      <c r="T162" s="18"/>
      <c r="U162" s="76">
        <f>10*LOG10(10^((100+10*LOG10(1/(4*PI()*(3+J162/2)^2)))/10)+10^((100-3+10*LOG10(1/(4*PI()*(3+J162/2)^2)))/10)+10^((100+10*LOG10(4*(1+L162/10)/(0.16*(2000+K162*100))))/10))-100+31</f>
        <v>14.080833676608876</v>
      </c>
      <c r="V162" s="7">
        <f>IF(T162="",0,IF(EXACT(RIGHT(T162,2),"dB"),IF(ABS(VALUE(LEFT(T162,FIND(" ",T162,1)))-U162)&lt;=0.5,1,-1),-1))</f>
        <v>0</v>
      </c>
      <c r="W162" s="58">
        <v>0.49380000000000002</v>
      </c>
      <c r="X162" s="35">
        <f>(0.5+L162/20)/(1+10^(-(5+K162)/10))</f>
        <v>0.53182284865357043</v>
      </c>
      <c r="Y162" s="7">
        <f>IF(W162="",0,IF(ABS(VALUE(W162)-X162)&lt;=0.05,1,-1))</f>
        <v>1</v>
      </c>
      <c r="Z162" s="34" t="s">
        <v>544</v>
      </c>
      <c r="AA162" s="76">
        <f>10*LOG10(1+((100+K162*10+L162)*(0.5+J162/20))/((0.1+J162/100)*(6*(5+L162/2)^2)))</f>
        <v>4.422770744770439</v>
      </c>
      <c r="AB162" s="7">
        <f>IF(Z162="",0,IF(EXACT(RIGHT(Z162,2),"dB"),IF(ABS(VALUE(LEFT(Z162,FIND(" ",Z162,1)))-AA162)&lt;=0.5,1,-1),-1))</f>
        <v>1</v>
      </c>
      <c r="AC162" s="34">
        <v>0.5</v>
      </c>
      <c r="AD162" s="35">
        <f>0.3+L162/30+0.1</f>
        <v>0.53333333333333333</v>
      </c>
      <c r="AE162" s="7">
        <f>IF(AC162="",0,IF(ABS(VALUE(AC162)-AD162)&lt;=0.05,1,-1))</f>
        <v>1</v>
      </c>
      <c r="AF162" s="34">
        <v>0.5</v>
      </c>
      <c r="AG162" s="35">
        <f>1-AD162</f>
        <v>0.46666666666666667</v>
      </c>
      <c r="AH162" s="7">
        <f>IF(AF162="",0,IF(ABS(VALUE(AF162)-AG162)&lt;=0.05,1,-1))</f>
        <v>1</v>
      </c>
      <c r="AI162" s="34" t="s">
        <v>543</v>
      </c>
      <c r="AJ162" s="76">
        <f>-10*LOG10(1-(0.3+K162/20))</f>
        <v>1.5490195998574319</v>
      </c>
      <c r="AK162" s="7">
        <f>IF(AI162="",0,IF(EXACT(RIGHT(AI162,2),"dB"),IF(ABS(ABS(VALUE(LEFT(AI162,FIND(" ",AI162,1))))-AJ162)&lt;=0.5,1,-1),-1))</f>
        <v>-1</v>
      </c>
      <c r="AL162" s="34">
        <v>6.8259999999999996</v>
      </c>
      <c r="AM162" s="35">
        <f>((0.16*(200+K162*10+L162)/(2+K162/10))-0.16*(200+K162*10+L162)/(6+L162/10))/10</f>
        <v>1.1220000000000001</v>
      </c>
      <c r="AN162" s="7">
        <f>IF(AL162="",0,IF(ABS(VALUE(AL162)-AM162)&lt;=0.05,1,-1))</f>
        <v>-1</v>
      </c>
      <c r="AO162" s="34" t="s">
        <v>545</v>
      </c>
      <c r="AP162" s="35">
        <f>((0.16*(200+K162*10+L162)/(2+K162/10))-0.16*(200+K162*10+L162)/(6+L162/10))/(10+J162)</f>
        <v>0.66</v>
      </c>
      <c r="AQ162" s="7">
        <f>IF(AO162="",0,IF(EXACT(RIGHT(AO162,2),"m2"),IF(ABS(VALUE(LEFT(AO162,FIND(" ",AO162,1)))-AP162)&lt;=0.05,1,-1),-1))</f>
        <v>-1</v>
      </c>
      <c r="AR162" s="48">
        <f>M162+P162+S162+V162+Y162+AB162+AE162+AH162+AK162+AN162+AQ162</f>
        <v>3</v>
      </c>
    </row>
    <row r="163" spans="1:44" ht="12.75" x14ac:dyDescent="0.2">
      <c r="A163" s="32">
        <v>161</v>
      </c>
      <c r="B163" s="33">
        <v>41950.769894560181</v>
      </c>
      <c r="C163" s="34" t="s">
        <v>615</v>
      </c>
      <c r="D163" s="34" t="s">
        <v>616</v>
      </c>
      <c r="E163" s="17">
        <v>255667</v>
      </c>
      <c r="F163" s="6">
        <v>1</v>
      </c>
      <c r="G163" s="6">
        <f>INT(E163/100000)</f>
        <v>2</v>
      </c>
      <c r="H163" s="6">
        <f>INT(($E163-100000*G163)/10000)</f>
        <v>5</v>
      </c>
      <c r="I163" s="6">
        <f>INT(($E163-100000*G163-10000*H163)/1000)</f>
        <v>5</v>
      </c>
      <c r="J163" s="6">
        <f>INT(($E163-100000*$G163-10000*$H163-1000*$I163)/100)</f>
        <v>6</v>
      </c>
      <c r="K163" s="6">
        <f>INT(($E163-100000*$G163-10000*$H163-1000*$I163-100*$J163)/10)</f>
        <v>6</v>
      </c>
      <c r="L163" s="6">
        <f>INT(($E163-100000*$G163-10000*$H163-1000*$I163-100*$J163-10*$K163))</f>
        <v>7</v>
      </c>
      <c r="M163" s="7">
        <v>2</v>
      </c>
      <c r="N163" s="34" t="s">
        <v>617</v>
      </c>
      <c r="O163" s="76">
        <f>10*LOG10((10^((100+10*LOG10(1/(4*PI()*(3+J163/2)^2)))/10)+10^((100-3+10*LOG10(1/(4*PI()*(3+J163/2)^2)))/10))/10^((100+10*LOG10(4*(1+L163/10)/(0.16*(2000+K163*100))))/10))</f>
        <v>-6.9249308443239288</v>
      </c>
      <c r="P163" s="7">
        <f>IF(N163="",0,IF(EXACT(RIGHT(N163,2),"dB"),IF(ABS(VALUE(LEFT(N163,FIND(" ",N163,1)))-O163)&lt;=0.5,1,-1),-1))</f>
        <v>-1</v>
      </c>
      <c r="Q163" s="18"/>
      <c r="R163" s="35">
        <f>(10^((100-3+10*LOG10(1/(4*PI()*(3+J163/2)^2)))/10)*COS((90-(30+L163*6))/180*PI()))/(10^((100+10*LOG10(1/(4*PI()*(3+J163/2)^2)))/10)+10^((100-3+10*LOG10(1/(4*PI()*(3+J163/2)^2)))/10))</f>
        <v>0.31752027578427189</v>
      </c>
      <c r="S163" s="7">
        <f>IF(Q163="",0,IF(ABS(VALUE(Q163)-R163)&lt;=0.05,1,-1))</f>
        <v>0</v>
      </c>
      <c r="T163" s="18"/>
      <c r="U163" s="76">
        <f>10*LOG10(10^((100+10*LOG10(1/(4*PI()*(3+J163/2)^2)))/10)+10^((100-3+10*LOG10(1/(4*PI()*(3+J163/2)^2)))/10)+10^((100+10*LOG10(4*(1+L163/10)/(0.16*(2000+K163*100))))/10))-100+31</f>
        <v>13.936830449861134</v>
      </c>
      <c r="V163" s="7">
        <f>IF(T163="",0,IF(EXACT(RIGHT(T163,2),"dB"),IF(ABS(VALUE(LEFT(T163,FIND(" ",T163,1)))-U163)&lt;=0.5,1,-1),-1))</f>
        <v>0</v>
      </c>
      <c r="W163" s="58">
        <v>0.78700000000000003</v>
      </c>
      <c r="X163" s="35">
        <f>(0.5+L163/20)/(1+10^(-(5+K163)/10))</f>
        <v>0.7874505773000624</v>
      </c>
      <c r="Y163" s="7">
        <f>IF(W163="",0,IF(ABS(VALUE(W163)-X163)&lt;=0.05,1,-1))</f>
        <v>1</v>
      </c>
      <c r="Z163" s="36" t="s">
        <v>618</v>
      </c>
      <c r="AA163" s="76">
        <f>10*LOG10(1+((100+K163*10+L163)*(0.5+J163/20))/((0.1+J163/100)*(6*(5+L163/2)^2)))</f>
        <v>4.6630136974552041</v>
      </c>
      <c r="AB163" s="7">
        <f>IF(Z163="",0,IF(EXACT(RIGHT(Z163,2),"dB"),IF(ABS(VALUE(LEFT(Z163,FIND(" ",Z163,1)))-AA163)&lt;=0.5,1,-1),-1))</f>
        <v>-1</v>
      </c>
      <c r="AC163" s="34">
        <v>0.6</v>
      </c>
      <c r="AD163" s="35">
        <f>0.3+L163/30+0.1</f>
        <v>0.6333333333333333</v>
      </c>
      <c r="AE163" s="7">
        <f>IF(AC163="",0,IF(ABS(VALUE(AC163)-AD163)&lt;=0.05,1,-1))</f>
        <v>1</v>
      </c>
      <c r="AF163" s="36" t="s">
        <v>619</v>
      </c>
      <c r="AG163" s="35">
        <f>1-AD163</f>
        <v>0.3666666666666667</v>
      </c>
      <c r="AH163" s="7">
        <v>-1</v>
      </c>
      <c r="AI163" s="18"/>
      <c r="AJ163" s="76">
        <f>-10*LOG10(1-(0.3+K163/20))</f>
        <v>3.9794000867203758</v>
      </c>
      <c r="AK163" s="7">
        <f>IF(AI163="",0,IF(EXACT(RIGHT(AI163,2),"dB"),IF(ABS(ABS(VALUE(LEFT(AI163,FIND(" ",AI163,1))))-AJ163)&lt;=0.5,1,-1),-1))</f>
        <v>0</v>
      </c>
      <c r="AL163" s="34">
        <v>1.0049999999999999</v>
      </c>
      <c r="AM163" s="35">
        <f>((0.16*(200+K163*10+L163)/(2+K163/10))-0.16*(200+K163*10+L163)/(6+L163/10))/10</f>
        <v>1.0054649827784155</v>
      </c>
      <c r="AN163" s="7">
        <f>IF(AL163="",0,IF(ABS(VALUE(AL163)-AM163)&lt;=0.05,1,-1))</f>
        <v>1</v>
      </c>
      <c r="AO163" s="34" t="s">
        <v>620</v>
      </c>
      <c r="AP163" s="35">
        <f>((0.16*(200+K163*10+L163)/(2+K163/10))-0.16*(200+K163*10+L163)/(6+L163/10))/(10+J163)</f>
        <v>0.62841561423650971</v>
      </c>
      <c r="AQ163" s="7">
        <f>IF(AO163="",0,IF(EXACT(RIGHT(AO163,2),"m2"),IF(ABS(VALUE(LEFT(AO163,FIND(" ",AO163,1)))-AP163)&lt;=0.05,1,-1),-1))</f>
        <v>1</v>
      </c>
      <c r="AR163" s="48">
        <f>M163+P163+S163+V163+Y163+AB163+AE163+AH163+AK163+AN163+AQ163</f>
        <v>3</v>
      </c>
    </row>
    <row r="164" spans="1:44" ht="12.75" x14ac:dyDescent="0.2">
      <c r="A164" s="32">
        <v>162</v>
      </c>
      <c r="B164" s="33">
        <v>41950.770747280098</v>
      </c>
      <c r="C164" s="34" t="s">
        <v>694</v>
      </c>
      <c r="D164" s="34" t="s">
        <v>695</v>
      </c>
      <c r="E164" s="17">
        <v>252532</v>
      </c>
      <c r="F164" s="6">
        <v>1</v>
      </c>
      <c r="G164" s="6">
        <f>INT(E164/100000)</f>
        <v>2</v>
      </c>
      <c r="H164" s="6">
        <f>INT(($E164-100000*G164)/10000)</f>
        <v>5</v>
      </c>
      <c r="I164" s="6">
        <f>INT(($E164-100000*G164-10000*H164)/1000)</f>
        <v>2</v>
      </c>
      <c r="J164" s="6">
        <f>INT(($E164-100000*$G164-10000*$H164-1000*$I164)/100)</f>
        <v>5</v>
      </c>
      <c r="K164" s="6">
        <f>INT(($E164-100000*$G164-10000*$H164-1000*$I164-100*$J164)/10)</f>
        <v>3</v>
      </c>
      <c r="L164" s="6">
        <f>INT(($E164-100000*$G164-10000*$H164-1000*$I164-100*$J164-10*$K164))</f>
        <v>2</v>
      </c>
      <c r="M164" s="7">
        <v>2</v>
      </c>
      <c r="N164" s="18"/>
      <c r="O164" s="76">
        <f>10*LOG10((10^((100+10*LOG10(1/(4*PI()*(3+J164/2)^2)))/10)+10^((100-3+10*LOG10(1/(4*PI()*(3+J164/2)^2)))/10))/10^((100+10*LOG10(4*(1+L164/10)/(0.16*(2000+K164*100))))/10))</f>
        <v>-5.1889379927616712</v>
      </c>
      <c r="P164" s="7">
        <f>IF(N164="",0,IF(EXACT(RIGHT(N164,2),"dB"),IF(ABS(VALUE(LEFT(N164,FIND(" ",N164,1)))-O164)&lt;=0.5,1,-1),-1))</f>
        <v>0</v>
      </c>
      <c r="Q164" s="18"/>
      <c r="R164" s="35">
        <f>(10^((100-3+10*LOG10(1/(4*PI()*(3+J164/2)^2)))/10)*COS((90-(30+L164*6))/180*PI()))/(10^((100+10*LOG10(1/(4*PI()*(3+J164/2)^2)))/10)+10^((100-3+10*LOG10(1/(4*PI()*(3+J164/2)^2)))/10))</f>
        <v>0.22339632926801273</v>
      </c>
      <c r="S164" s="7">
        <f>IF(Q164="",0,IF(ABS(VALUE(Q164)-R164)&lt;=0.05,1,-1))</f>
        <v>0</v>
      </c>
      <c r="T164" s="18"/>
      <c r="U164" s="76">
        <f>10*LOG10(10^((100+10*LOG10(1/(4*PI()*(3+J164/2)^2)))/10)+10^((100-3+10*LOG10(1/(4*PI()*(3+J164/2)^2)))/10)+10^((100+10*LOG10(4*(1+L164/10)/(0.16*(2000+K164*100))))/10))-100+31</f>
        <v>13.302596246530882</v>
      </c>
      <c r="V164" s="7">
        <f>IF(T164="",0,IF(EXACT(RIGHT(T164,2),"dB"),IF(ABS(VALUE(LEFT(T164,FIND(" ",T164,1)))-U164)&lt;=0.5,1,-1),-1))</f>
        <v>0</v>
      </c>
      <c r="W164" s="58">
        <v>0.51700000000000002</v>
      </c>
      <c r="X164" s="35">
        <f>(0.5+L164/20)/(1+10^(-(5+K164)/10))</f>
        <v>0.517915866838074</v>
      </c>
      <c r="Y164" s="7">
        <f>IF(W164="",0,IF(ABS(VALUE(W164)-X164)&lt;=0.05,1,-1))</f>
        <v>1</v>
      </c>
      <c r="Z164" s="34" t="s">
        <v>697</v>
      </c>
      <c r="AA164" s="76">
        <f>10*LOG10(1+((100+K164*10+L164)*(0.5+J164/20))/((0.1+J164/100)*(6*(5+L164/2)^2)))</f>
        <v>6.0805035501714979</v>
      </c>
      <c r="AB164" s="7">
        <f>IF(Z164="",0,IF(EXACT(RIGHT(Z164,2),"dB"),IF(ABS(VALUE(LEFT(Z164,FIND(" ",Z164,1)))-AA164)&lt;=0.5,1,-1),-1))</f>
        <v>-1</v>
      </c>
      <c r="AC164" s="34">
        <v>0.47</v>
      </c>
      <c r="AD164" s="35">
        <f>0.3+L164/30+0.1</f>
        <v>0.46666666666666667</v>
      </c>
      <c r="AE164" s="7">
        <f>IF(AC164="",0,IF(ABS(VALUE(AC164)-AD164)&lt;=0.05,1,-1))</f>
        <v>1</v>
      </c>
      <c r="AF164" s="36" t="s">
        <v>698</v>
      </c>
      <c r="AG164" s="35">
        <f>1-AD164</f>
        <v>0.53333333333333333</v>
      </c>
      <c r="AH164" s="7">
        <v>-1</v>
      </c>
      <c r="AI164" s="36" t="s">
        <v>696</v>
      </c>
      <c r="AJ164" s="76">
        <f>-10*LOG10(1-(0.3+K164/20))</f>
        <v>2.5963731050575611</v>
      </c>
      <c r="AK164" s="7">
        <f>IF(AI164="",0,IF(EXACT(RIGHT(AI164,2),"dB"),IF(ABS(ABS(VALUE(LEFT(AI164,FIND(" ",AI164,1))))-AJ164)&lt;=0.5,1,-1),-1))</f>
        <v>-1</v>
      </c>
      <c r="AL164" s="34">
        <v>1.01</v>
      </c>
      <c r="AM164" s="35">
        <f>((0.16*(200+K164*10+L164)/(2+K164/10))-0.16*(200+K164*10+L164)/(6+L164/10))/10</f>
        <v>1.0152033660589059</v>
      </c>
      <c r="AN164" s="7">
        <f>IF(AL164="",0,IF(ABS(VALUE(AL164)-AM164)&lt;=0.05,1,-1))</f>
        <v>1</v>
      </c>
      <c r="AO164" s="34" t="s">
        <v>699</v>
      </c>
      <c r="AP164" s="35">
        <f>((0.16*(200+K164*10+L164)/(2+K164/10))-0.16*(200+K164*10+L164)/(6+L164/10))/(10+J164)</f>
        <v>0.6768022440392707</v>
      </c>
      <c r="AQ164" s="7">
        <f>IF(AO164="",0,IF(EXACT(RIGHT(AO164,2),"m2"),IF(ABS(VALUE(LEFT(AO164,FIND(" ",AO164,1)))-AP164)&lt;=0.05,1,-1),-1))</f>
        <v>1</v>
      </c>
      <c r="AR164" s="48">
        <f>M164+P164+S164+V164+Y164+AB164+AE164+AH164+AK164+AN164+AQ164</f>
        <v>3</v>
      </c>
    </row>
    <row r="165" spans="1:44" ht="12.75" x14ac:dyDescent="0.2">
      <c r="A165" s="32">
        <v>163</v>
      </c>
      <c r="B165" s="33">
        <v>41950.759441527778</v>
      </c>
      <c r="C165" s="34" t="s">
        <v>38</v>
      </c>
      <c r="D165" s="34" t="s">
        <v>39</v>
      </c>
      <c r="E165" s="17">
        <v>241009</v>
      </c>
      <c r="F165" s="6">
        <v>1</v>
      </c>
      <c r="G165" s="6">
        <f>INT(E165/100000)</f>
        <v>2</v>
      </c>
      <c r="H165" s="6">
        <f>INT(($E165-100000*G165)/10000)</f>
        <v>4</v>
      </c>
      <c r="I165" s="6">
        <f>INT(($E165-100000*G165-10000*H165)/1000)</f>
        <v>1</v>
      </c>
      <c r="J165" s="6">
        <f>INT(($E165-100000*$G165-10000*$H165-1000*$I165)/100)</f>
        <v>0</v>
      </c>
      <c r="K165" s="6">
        <f>INT(($E165-100000*$G165-10000*$H165-1000*$I165-100*$J165)/10)</f>
        <v>0</v>
      </c>
      <c r="L165" s="6">
        <f>INT(($E165-100000*$G165-10000*$H165-1000*$I165-100*$J165-10*$K165))</f>
        <v>9</v>
      </c>
      <c r="M165" s="7">
        <v>2</v>
      </c>
      <c r="N165" s="18"/>
      <c r="O165" s="76">
        <f>10*LOG10((10^((100+10*LOG10(1/(4*PI()*(3+J165/2)^2)))/10)+10^((100-3+10*LOG10(1/(4*PI()*(3+J165/2)^2)))/10))/10^((100+10*LOG10(4*(1+L165/10)/(0.16*(2000+K165*100))))/10))</f>
        <v>-2.52681124985821</v>
      </c>
      <c r="P165" s="7">
        <f>IF(N165="",0,IF(EXACT(RIGHT(N165,2),"dB"),IF(ABS(VALUE(LEFT(N165,FIND(" ",N165,1)))-O165)&lt;=0.5,1,-1),-1))</f>
        <v>0</v>
      </c>
      <c r="Q165" s="18"/>
      <c r="R165" s="35">
        <f>(10^((100-3+10*LOG10(1/(4*PI()*(3+J165/2)^2)))/10)*COS((90-(30+L165*6))/180*PI()))/(10^((100+10*LOG10(1/(4*PI()*(3+J165/2)^2)))/10)+10^((100-3+10*LOG10(1/(4*PI()*(3+J165/2)^2)))/10))</f>
        <v>0.33203165225233644</v>
      </c>
      <c r="S165" s="7">
        <f>IF(Q165="",0,IF(ABS(VALUE(Q165)-R165)&lt;=0.05,1,-1))</f>
        <v>0</v>
      </c>
      <c r="T165" s="18"/>
      <c r="U165" s="76">
        <f>10*LOG10(10^((100+10*LOG10(1/(4*PI()*(3+J165/2)^2)))/10)+10^((100-3+10*LOG10(1/(4*PI()*(3+J165/2)^2)))/10)+10^((100+10*LOG10(4*(1+L165/10)/(0.16*(2000+K165*100))))/10))-100+31</f>
        <v>16.684764091302242</v>
      </c>
      <c r="V165" s="7">
        <f>IF(T165="",0,IF(EXACT(RIGHT(T165,2),"dB"),IF(ABS(VALUE(LEFT(T165,FIND(" ",T165,1)))-U165)&lt;=0.5,1,-1),-1))</f>
        <v>0</v>
      </c>
      <c r="W165" s="58">
        <v>0.72175999999999996</v>
      </c>
      <c r="X165" s="35">
        <f>(0.5+L165/20)/(1+10^(-(5+K165)/10))</f>
        <v>0.72175958031555987</v>
      </c>
      <c r="Y165" s="7">
        <f>IF(W165="",0,IF(ABS(VALUE(W165)-X165)&lt;=0.05,1,-1))</f>
        <v>1</v>
      </c>
      <c r="Z165" s="34" t="s">
        <v>41</v>
      </c>
      <c r="AA165" s="76">
        <f>10*LOG10(1+((100+K165*10+L165)*(0.5+J165/20))/((0.1+J165/100)*(6*(5+L165/2)^2)))</f>
        <v>3.0243126969520411</v>
      </c>
      <c r="AB165" s="7">
        <f>IF(Z165="",0,IF(EXACT(RIGHT(Z165,2),"dB"),IF(ABS(VALUE(LEFT(Z165,FIND(" ",Z165,1)))-AA165)&lt;=0.5,1,-1),-1))</f>
        <v>-1</v>
      </c>
      <c r="AC165" s="34">
        <v>0.7</v>
      </c>
      <c r="AD165" s="35">
        <f>0.3+L165/30+0.1</f>
        <v>0.7</v>
      </c>
      <c r="AE165" s="7">
        <f>IF(AC165="",0,IF(ABS(VALUE(AC165)-AD165)&lt;=0.05,1,-1))</f>
        <v>1</v>
      </c>
      <c r="AF165" s="34">
        <v>0.3</v>
      </c>
      <c r="AG165" s="35">
        <f>1-AD165</f>
        <v>0.30000000000000004</v>
      </c>
      <c r="AH165" s="7">
        <f>IF(AF165="",0,IF(ABS(VALUE(AF165)-AG165)&lt;=0.05,1,-1))</f>
        <v>1</v>
      </c>
      <c r="AI165" s="73" t="s">
        <v>40</v>
      </c>
      <c r="AJ165" s="76">
        <f>-10*LOG10(1-(0.3+K165/20))</f>
        <v>1.5490195998574319</v>
      </c>
      <c r="AK165" s="7">
        <f>IF(AI165="",0,IF(EXACT(RIGHT(AI165,2),"dB"),IF(ABS(ABS(VALUE(LEFT(AI165,FIND(" ",AI165,1))))-AJ165)&lt;=0.5,1,-1),-1))</f>
        <v>1</v>
      </c>
      <c r="AL165" s="34">
        <v>1.1200000000000001</v>
      </c>
      <c r="AM165" s="35">
        <f>((0.16*(200+K165*10+L165)/(2+K165/10))-0.16*(200+K165*10+L165)/(6+L165/10))/10</f>
        <v>1.1873623188405795</v>
      </c>
      <c r="AN165" s="7">
        <f>IF(AL165="",0,IF(ABS(VALUE(AL165)-AM165)&lt;=0.05,1,-1))</f>
        <v>-1</v>
      </c>
      <c r="AO165" s="34" t="s">
        <v>42</v>
      </c>
      <c r="AP165" s="35">
        <f>((0.16*(200+K165*10+L165)/(2+K165/10))-0.16*(200+K165*10+L165)/(6+L165/10))/(10+J165)</f>
        <v>1.1873623188405795</v>
      </c>
      <c r="AQ165" s="7">
        <f>IF(AO165="",0,IF(EXACT(RIGHT(AO165,2),"m2"),IF(ABS(VALUE(LEFT(AO165,FIND(" ",AO165,1)))-AP165)&lt;=0.05,1,-1),-1))</f>
        <v>-1</v>
      </c>
      <c r="AR165" s="48">
        <f>M165+P165+S165+V165+Y165+AB165+AE165+AH165+AK165+AN165+AQ165</f>
        <v>3</v>
      </c>
    </row>
    <row r="166" spans="1:44" ht="12.75" x14ac:dyDescent="0.2">
      <c r="A166" s="32">
        <v>164</v>
      </c>
      <c r="B166" s="33">
        <v>41950.75946069444</v>
      </c>
      <c r="C166" s="34" t="s">
        <v>43</v>
      </c>
      <c r="D166" s="34" t="s">
        <v>44</v>
      </c>
      <c r="E166" s="17">
        <v>240599</v>
      </c>
      <c r="F166" s="6">
        <v>1</v>
      </c>
      <c r="G166" s="6">
        <f>INT(E166/100000)</f>
        <v>2</v>
      </c>
      <c r="H166" s="6">
        <f>INT(($E166-100000*G166)/10000)</f>
        <v>4</v>
      </c>
      <c r="I166" s="6">
        <f>INT(($E166-100000*G166-10000*H166)/1000)</f>
        <v>0</v>
      </c>
      <c r="J166" s="6">
        <f>INT(($E166-100000*$G166-10000*$H166-1000*$I166)/100)</f>
        <v>5</v>
      </c>
      <c r="K166" s="6">
        <f>INT(($E166-100000*$G166-10000*$H166-1000*$I166-100*$J166)/10)</f>
        <v>9</v>
      </c>
      <c r="L166" s="6">
        <f>INT(($E166-100000*$G166-10000*$H166-1000*$I166-100*$J166-10*$K166))</f>
        <v>9</v>
      </c>
      <c r="M166" s="7">
        <v>2</v>
      </c>
      <c r="N166" s="18"/>
      <c r="O166" s="76">
        <f>10*LOG10((10^((100+10*LOG10(1/(4*PI()*(3+J166/2)^2)))/10)+10^((100-3+10*LOG10(1/(4*PI()*(3+J166/2)^2)))/10))/10^((100+10*LOG10(4*(1+L166/10)/(0.16*(2000+K166*100))))/10))</f>
        <v>-6.1779599230000946</v>
      </c>
      <c r="P166" s="7">
        <f>IF(N166="",0,IF(EXACT(RIGHT(N166,2),"dB"),IF(ABS(VALUE(LEFT(N166,FIND(" ",N166,1)))-O166)&lt;=0.5,1,-1),-1))</f>
        <v>0</v>
      </c>
      <c r="Q166" s="18"/>
      <c r="R166" s="35">
        <f>(10^((100-3+10*LOG10(1/(4*PI()*(3+J166/2)^2)))/10)*COS((90-(30+L166*6))/180*PI()))/(10^((100+10*LOG10(1/(4*PI()*(3+J166/2)^2)))/10)+10^((100-3+10*LOG10(1/(4*PI()*(3+J166/2)^2)))/10))</f>
        <v>0.33203165225233566</v>
      </c>
      <c r="S166" s="7">
        <f>IF(Q166="",0,IF(ABS(VALUE(Q166)-R166)&lt;=0.05,1,-1))</f>
        <v>0</v>
      </c>
      <c r="T166" s="18"/>
      <c r="U166" s="76">
        <f>10*LOG10(10^((100+10*LOG10(1/(4*PI()*(3+J166/2)^2)))/10)+10^((100-3+10*LOG10(1/(4*PI()*(3+J166/2)^2)))/10)+10^((100+10*LOG10(4*(1+L166/10)/(0.16*(2000+K166*100))))/10))-100+31</f>
        <v>14.081037078187251</v>
      </c>
      <c r="V166" s="7">
        <f>IF(T166="",0,IF(EXACT(RIGHT(T166,2),"dB"),IF(ABS(VALUE(LEFT(T166,FIND(" ",T166,1)))-U166)&lt;=0.5,1,-1),-1))</f>
        <v>0</v>
      </c>
      <c r="W166" s="58">
        <v>0.913628</v>
      </c>
      <c r="X166" s="35">
        <f>(0.5+L166/20)/(1+10^(-(5+K166)/10))</f>
        <v>0.91362782131185805</v>
      </c>
      <c r="Y166" s="7">
        <f>IF(W166="",0,IF(ABS(VALUE(W166)-X166)&lt;=0.05,1,-1))</f>
        <v>1</v>
      </c>
      <c r="Z166" s="34" t="s">
        <v>46</v>
      </c>
      <c r="AA166" s="76">
        <f>10*LOG10(1+((100+K166*10+L166)*(0.5+J166/20))/((0.1+J166/100)*(6*(5+L166/2)^2)))</f>
        <v>4.5293410363105782</v>
      </c>
      <c r="AB166" s="7">
        <f>IF(Z166="",0,IF(EXACT(RIGHT(Z166,2),"dB"),IF(ABS(VALUE(LEFT(Z166,FIND(" ",Z166,1)))-AA166)&lt;=0.5,1,-1),-1))</f>
        <v>-1</v>
      </c>
      <c r="AC166" s="34">
        <v>0.7</v>
      </c>
      <c r="AD166" s="35">
        <f>0.3+L166/30+0.1</f>
        <v>0.7</v>
      </c>
      <c r="AE166" s="7">
        <f>IF(AC166="",0,IF(ABS(VALUE(AC166)-AD166)&lt;=0.05,1,-1))</f>
        <v>1</v>
      </c>
      <c r="AF166" s="34">
        <v>0.3</v>
      </c>
      <c r="AG166" s="35">
        <f>1-AD166</f>
        <v>0.30000000000000004</v>
      </c>
      <c r="AH166" s="7">
        <f>IF(AF166="",0,IF(ABS(VALUE(AF166)-AG166)&lt;=0.05,1,-1))</f>
        <v>1</v>
      </c>
      <c r="AI166" s="73" t="s">
        <v>45</v>
      </c>
      <c r="AJ166" s="76">
        <f>-10*LOG10(1-(0.3+K166/20))</f>
        <v>6.0205999132796242</v>
      </c>
      <c r="AK166" s="7">
        <f>IF(AI166="",0,IF(EXACT(RIGHT(AI166,2),"dB"),IF(ABS(ABS(VALUE(LEFT(AI166,FIND(" ",AI166,1))))-AJ166)&lt;=0.5,1,-1),-1))</f>
        <v>1</v>
      </c>
      <c r="AL166" s="34">
        <v>0.45</v>
      </c>
      <c r="AM166" s="35">
        <f>((0.16*(200+K166*10+L166)/(2+K166/10))-0.16*(200+K166*10+L166)/(6+L166/10))/10</f>
        <v>0.95632183908045998</v>
      </c>
      <c r="AN166" s="7">
        <f>IF(AL166="",0,IF(ABS(VALUE(AL166)-AM166)&lt;=0.05,1,-1))</f>
        <v>-1</v>
      </c>
      <c r="AO166" s="34" t="s">
        <v>47</v>
      </c>
      <c r="AP166" s="35">
        <f>((0.16*(200+K166*10+L166)/(2+K166/10))-0.16*(200+K166*10+L166)/(6+L166/10))/(10+J166)</f>
        <v>0.63754789272030665</v>
      </c>
      <c r="AQ166" s="7">
        <f>IF(AO166="",0,IF(EXACT(RIGHT(AO166,2),"m2"),IF(ABS(VALUE(LEFT(AO166,FIND(" ",AO166,1)))-AP166)&lt;=0.05,1,-1),-1))</f>
        <v>-1</v>
      </c>
      <c r="AR166" s="48">
        <f>M166+P166+S166+V166+Y166+AB166+AE166+AH166+AK166+AN166+AQ166</f>
        <v>3</v>
      </c>
    </row>
    <row r="167" spans="1:44" ht="12.75" x14ac:dyDescent="0.2">
      <c r="A167" s="32">
        <v>165</v>
      </c>
      <c r="B167" s="33">
        <v>41950.759781666668</v>
      </c>
      <c r="C167" s="34" t="s">
        <v>48</v>
      </c>
      <c r="D167" s="34" t="s">
        <v>49</v>
      </c>
      <c r="E167" s="17">
        <v>239679</v>
      </c>
      <c r="F167" s="6">
        <v>1</v>
      </c>
      <c r="G167" s="6">
        <f>INT(E167/100000)</f>
        <v>2</v>
      </c>
      <c r="H167" s="6">
        <f>INT(($E167-100000*G167)/10000)</f>
        <v>3</v>
      </c>
      <c r="I167" s="6">
        <f>INT(($E167-100000*G167-10000*H167)/1000)</f>
        <v>9</v>
      </c>
      <c r="J167" s="6">
        <f>INT(($E167-100000*$G167-10000*$H167-1000*$I167)/100)</f>
        <v>6</v>
      </c>
      <c r="K167" s="6">
        <f>INT(($E167-100000*$G167-10000*$H167-1000*$I167-100*$J167)/10)</f>
        <v>7</v>
      </c>
      <c r="L167" s="6">
        <f>INT(($E167-100000*$G167-10000*$H167-1000*$I167-100*$J167-10*$K167))</f>
        <v>9</v>
      </c>
      <c r="M167" s="7">
        <v>2</v>
      </c>
      <c r="N167" s="18"/>
      <c r="O167" s="76">
        <f>10*LOG10((10^((100+10*LOG10(1/(4*PI()*(3+J167/2)^2)))/10)+10^((100-3+10*LOG10(1/(4*PI()*(3+J167/2)^2)))/10))/10^((100+10*LOG10(4*(1+L167/10)/(0.16*(2000+K167*100))))/10))</f>
        <v>-7.2440734781877705</v>
      </c>
      <c r="P167" s="7">
        <f>IF(N167="",0,IF(EXACT(RIGHT(N167,2),"dB"),IF(ABS(VALUE(LEFT(N167,FIND(" ",N167,1)))-O167)&lt;=0.5,1,-1),-1))</f>
        <v>0</v>
      </c>
      <c r="Q167" s="18"/>
      <c r="R167" s="35">
        <f>(10^((100-3+10*LOG10(1/(4*PI()*(3+J167/2)^2)))/10)*COS((90-(30+L167*6))/180*PI()))/(10^((100+10*LOG10(1/(4*PI()*(3+J167/2)^2)))/10)+10^((100-3+10*LOG10(1/(4*PI()*(3+J167/2)^2)))/10))</f>
        <v>0.33203165225233644</v>
      </c>
      <c r="S167" s="7">
        <f>IF(Q167="",0,IF(ABS(VALUE(Q167)-R167)&lt;=0.05,1,-1))</f>
        <v>0</v>
      </c>
      <c r="T167" s="18"/>
      <c r="U167" s="76">
        <f>10*LOG10(10^((100+10*LOG10(1/(4*PI()*(3+J167/2)^2)))/10)+10^((100-3+10*LOG10(1/(4*PI()*(3+J167/2)^2)))/10)+10^((100+10*LOG10(4*(1+L167/10)/(0.16*(2000+K167*100))))/10))-100+31</f>
        <v>14.203736584176681</v>
      </c>
      <c r="V167" s="7">
        <f>IF(T167="",0,IF(EXACT(RIGHT(T167,2),"dB"),IF(ABS(VALUE(LEFT(T167,FIND(" ",T167,1)))-U167)&lt;=0.5,1,-1),-1))</f>
        <v>0</v>
      </c>
      <c r="W167" s="58">
        <v>0.89361599999999997</v>
      </c>
      <c r="X167" s="35">
        <f>(0.5+L167/20)/(1+10^(-(5+K167)/10))</f>
        <v>0.89361660405237064</v>
      </c>
      <c r="Y167" s="7">
        <f>IF(W167="",0,IF(ABS(VALUE(W167)-X167)&lt;=0.05,1,-1))</f>
        <v>1</v>
      </c>
      <c r="Z167" s="34" t="s">
        <v>51</v>
      </c>
      <c r="AA167" s="76">
        <f>10*LOG10(1+((100+K167*10+L167)*(0.5+J167/20))/((0.1+J167/100)*(6*(5+L167/2)^2)))</f>
        <v>4.2370716936662713</v>
      </c>
      <c r="AB167" s="7">
        <f>IF(Z167="",0,IF(EXACT(RIGHT(Z167,2),"dB"),IF(ABS(VALUE(LEFT(Z167,FIND(" ",Z167,1)))-AA167)&lt;=0.5,1,-1),-1))</f>
        <v>-1</v>
      </c>
      <c r="AC167" s="34">
        <v>0.7</v>
      </c>
      <c r="AD167" s="35">
        <f>0.3+L167/30+0.1</f>
        <v>0.7</v>
      </c>
      <c r="AE167" s="7">
        <f>IF(AC167="",0,IF(ABS(VALUE(AC167)-AD167)&lt;=0.05,1,-1))</f>
        <v>1</v>
      </c>
      <c r="AF167" s="34">
        <v>0.3</v>
      </c>
      <c r="AG167" s="35">
        <f>1-AD167</f>
        <v>0.30000000000000004</v>
      </c>
      <c r="AH167" s="7">
        <f>IF(AF167="",0,IF(ABS(VALUE(AF167)-AG167)&lt;=0.05,1,-1))</f>
        <v>1</v>
      </c>
      <c r="AI167" s="73" t="s">
        <v>50</v>
      </c>
      <c r="AJ167" s="76">
        <f>-10*LOG10(1-(0.3+K167/20))</f>
        <v>4.5593195564972424</v>
      </c>
      <c r="AK167" s="7">
        <f>IF(AI167="",0,IF(EXACT(RIGHT(AI167,2),"dB"),IF(ABS(ABS(VALUE(LEFT(AI167,FIND(" ",AI167,1))))-AJ167)&lt;=0.5,1,-1),-1))</f>
        <v>1</v>
      </c>
      <c r="AL167" s="34">
        <v>0.59</v>
      </c>
      <c r="AM167" s="35">
        <f>((0.16*(200+K167*10+L167)/(2+K167/10))-0.16*(200+K167*10+L167)/(6+L167/10))/10</f>
        <v>1.0063768115942027</v>
      </c>
      <c r="AN167" s="7">
        <f>IF(AL167="",0,IF(ABS(VALUE(AL167)-AM167)&lt;=0.05,1,-1))</f>
        <v>-1</v>
      </c>
      <c r="AO167" s="34" t="s">
        <v>52</v>
      </c>
      <c r="AP167" s="35">
        <f>((0.16*(200+K167*10+L167)/(2+K167/10))-0.16*(200+K167*10+L167)/(6+L167/10))/(10+J167)</f>
        <v>0.6289855072463767</v>
      </c>
      <c r="AQ167" s="7">
        <f>IF(AO167="",0,IF(EXACT(RIGHT(AO167,2),"m2"),IF(ABS(VALUE(LEFT(AO167,FIND(" ",AO167,1)))-AP167)&lt;=0.05,1,-1),-1))</f>
        <v>-1</v>
      </c>
      <c r="AR167" s="48">
        <f>M167+P167+S167+V167+Y167+AB167+AE167+AH167+AK167+AN167+AQ167</f>
        <v>3</v>
      </c>
    </row>
    <row r="168" spans="1:44" ht="12.75" x14ac:dyDescent="0.2">
      <c r="A168" s="32">
        <v>166</v>
      </c>
      <c r="B168" s="33">
        <v>41950.765413912035</v>
      </c>
      <c r="C168" s="34" t="s">
        <v>135</v>
      </c>
      <c r="D168" s="34" t="s">
        <v>136</v>
      </c>
      <c r="E168" s="17">
        <v>244850</v>
      </c>
      <c r="F168" s="6">
        <v>1</v>
      </c>
      <c r="G168" s="6">
        <f>INT(E168/100000)</f>
        <v>2</v>
      </c>
      <c r="H168" s="6">
        <f>INT(($E168-100000*G168)/10000)</f>
        <v>4</v>
      </c>
      <c r="I168" s="6">
        <f>INT(($E168-100000*G168-10000*H168)/1000)</f>
        <v>4</v>
      </c>
      <c r="J168" s="6">
        <f>INT(($E168-100000*$G168-10000*$H168-1000*$I168)/100)</f>
        <v>8</v>
      </c>
      <c r="K168" s="6">
        <f>INT(($E168-100000*$G168-10000*$H168-1000*$I168-100*$J168)/10)</f>
        <v>5</v>
      </c>
      <c r="L168" s="6">
        <f>INT(($E168-100000*$G168-10000*$H168-1000*$I168-100*$J168-10*$K168))</f>
        <v>0</v>
      </c>
      <c r="M168" s="7">
        <v>2</v>
      </c>
      <c r="N168" s="18"/>
      <c r="O168" s="76">
        <f>10*LOG10((10^((100+10*LOG10(1/(4*PI()*(3+J168/2)^2)))/10)+10^((100-3+10*LOG10(1/(4*PI()*(3+J168/2)^2)))/10))/10^((100+10*LOG10(4*(1+L168/10)/(0.16*(2000+K168*100))))/10))</f>
        <v>-6.1297108161412339</v>
      </c>
      <c r="P168" s="7">
        <f>IF(N168="",0,IF(EXACT(RIGHT(N168,2),"dB"),IF(ABS(VALUE(LEFT(N168,FIND(" ",N168,1)))-O168)&lt;=0.5,1,-1),-1))</f>
        <v>0</v>
      </c>
      <c r="Q168" s="18"/>
      <c r="R168" s="35">
        <f>(10^((100-3+10*LOG10(1/(4*PI()*(3+J168/2)^2)))/10)*COS((90-(30+L168*6))/180*PI()))/(10^((100+10*LOG10(1/(4*PI()*(3+J168/2)^2)))/10)+10^((100-3+10*LOG10(1/(4*PI()*(3+J168/2)^2)))/10))</f>
        <v>0.16693028770843893</v>
      </c>
      <c r="S168" s="7">
        <f>IF(Q168="",0,IF(ABS(VALUE(Q168)-R168)&lt;=0.05,1,-1))</f>
        <v>0</v>
      </c>
      <c r="T168" s="18"/>
      <c r="U168" s="76">
        <f>10*LOG10(10^((100+10*LOG10(1/(4*PI()*(3+J168/2)^2)))/10)+10^((100-3+10*LOG10(1/(4*PI()*(3+J168/2)^2)))/10)+10^((100+10*LOG10(4*(1+L168/10)/(0.16*(2000+K168*100))))/10))-100+31</f>
        <v>11.947496149754926</v>
      </c>
      <c r="V168" s="7">
        <f>IF(T168="",0,IF(EXACT(RIGHT(T168,2),"dB"),IF(ABS(VALUE(LEFT(T168,FIND(" ",T168,1)))-U168)&lt;=0.5,1,-1),-1))</f>
        <v>0</v>
      </c>
      <c r="W168" s="58">
        <v>0.45450000000000002</v>
      </c>
      <c r="X168" s="35">
        <f>(0.5+L168/20)/(1+10^(-(5+K168)/10))</f>
        <v>0.45454545454545453</v>
      </c>
      <c r="Y168" s="7">
        <f>IF(W168="",0,IF(ABS(VALUE(W168)-X168)&lt;=0.05,1,-1))</f>
        <v>1</v>
      </c>
      <c r="Z168" s="34" t="s">
        <v>138</v>
      </c>
      <c r="AA168" s="76">
        <f>10*LOG10(1+((100+K168*10+L168)*(0.5+J168/20))/((0.1+J168/100)*(6*(5+L168/2)^2)))</f>
        <v>7.7815125038364368</v>
      </c>
      <c r="AB168" s="7">
        <f>IF(Z168="",0,IF(EXACT(RIGHT(Z168,2),"dB"),IF(ABS(VALUE(LEFT(Z168,FIND(" ",Z168,1)))-AA168)&lt;=0.5,1,-1),-1))</f>
        <v>-1</v>
      </c>
      <c r="AC168" s="34">
        <v>0.4</v>
      </c>
      <c r="AD168" s="35">
        <f>0.3+L168/30+0.1</f>
        <v>0.4</v>
      </c>
      <c r="AE168" s="7">
        <f>IF(AC168="",0,IF(ABS(VALUE(AC168)-AD168)&lt;=0.05,1,-1))</f>
        <v>1</v>
      </c>
      <c r="AF168" s="34">
        <v>0.6</v>
      </c>
      <c r="AG168" s="35">
        <f>1-AD168</f>
        <v>0.6</v>
      </c>
      <c r="AH168" s="7">
        <f>IF(AF168="",0,IF(ABS(VALUE(AF168)-AG168)&lt;=0.05,1,-1))</f>
        <v>1</v>
      </c>
      <c r="AI168" s="73" t="s">
        <v>137</v>
      </c>
      <c r="AJ168" s="76">
        <f>-10*LOG10(1-(0.3+K168/20))</f>
        <v>3.467874862246564</v>
      </c>
      <c r="AK168" s="7">
        <f>IF(AI168="",0,IF(EXACT(RIGHT(AI168,2),"dB"),IF(ABS(ABS(VALUE(LEFT(AI168,FIND(" ",AI168,1))))-AJ168)&lt;=0.5,1,-1),-1))</f>
        <v>1</v>
      </c>
      <c r="AL168" s="34">
        <v>0.74666670000000002</v>
      </c>
      <c r="AM168" s="35">
        <f>((0.16*(200+K168*10+L168)/(2+K168/10))-0.16*(200+K168*10+L168)/(6+L168/10))/10</f>
        <v>0.93333333333333324</v>
      </c>
      <c r="AN168" s="7">
        <f>IF(AL168="",0,IF(ABS(VALUE(AL168)-AM168)&lt;=0.05,1,-1))</f>
        <v>-1</v>
      </c>
      <c r="AO168" s="34" t="s">
        <v>1025</v>
      </c>
      <c r="AP168" s="35">
        <f>((0.16*(200+K168*10+L168)/(2+K168/10))-0.16*(200+K168*10+L168)/(6+L168/10))/(10+J168)</f>
        <v>0.51851851851851849</v>
      </c>
      <c r="AQ168" s="7">
        <f>IF(AO168="",0,IF(EXACT(RIGHT(AO168,2),"m2"),IF(ABS(VALUE(LEFT(AO168,FIND(" ",AO168,1)))-AP168)&lt;=0.05,1,-1),-1))</f>
        <v>-1</v>
      </c>
      <c r="AR168" s="48">
        <f>M168+P168+S168+V168+Y168+AB168+AE168+AH168+AK168+AN168+AQ168</f>
        <v>3</v>
      </c>
    </row>
    <row r="169" spans="1:44" ht="12.75" x14ac:dyDescent="0.2">
      <c r="A169" s="32">
        <v>167</v>
      </c>
      <c r="B169" s="33">
        <v>41950.765632291666</v>
      </c>
      <c r="C169" s="34" t="s">
        <v>172</v>
      </c>
      <c r="D169" s="34" t="s">
        <v>173</v>
      </c>
      <c r="E169" s="17">
        <v>239654</v>
      </c>
      <c r="F169" s="6">
        <v>1</v>
      </c>
      <c r="G169" s="6">
        <f>INT(E169/100000)</f>
        <v>2</v>
      </c>
      <c r="H169" s="6">
        <f>INT(($E169-100000*G169)/10000)</f>
        <v>3</v>
      </c>
      <c r="I169" s="6">
        <f>INT(($E169-100000*G169-10000*H169)/1000)</f>
        <v>9</v>
      </c>
      <c r="J169" s="6">
        <f>INT(($E169-100000*$G169-10000*$H169-1000*$I169)/100)</f>
        <v>6</v>
      </c>
      <c r="K169" s="6">
        <f>INT(($E169-100000*$G169-10000*$H169-1000*$I169-100*$J169)/10)</f>
        <v>5</v>
      </c>
      <c r="L169" s="6">
        <f>INT(($E169-100000*$G169-10000*$H169-1000*$I169-100*$J169-10*$K169))</f>
        <v>4</v>
      </c>
      <c r="M169" s="7">
        <v>2</v>
      </c>
      <c r="N169" s="18"/>
      <c r="O169" s="76">
        <f>10*LOG10((10^((100+10*LOG10(1/(4*PI()*(3+J169/2)^2)))/10)+10^((100-3+10*LOG10(1/(4*PI()*(3+J169/2)^2)))/10))/10^((100+10*LOG10(4*(1+L169/10)/(0.16*(2000+K169*100))))/10))</f>
        <v>-6.2520553803113588</v>
      </c>
      <c r="P169" s="7">
        <f>IF(N169="",0,IF(EXACT(RIGHT(N169,2),"dB"),IF(ABS(VALUE(LEFT(N169,FIND(" ",N169,1)))-O169)&lt;=0.5,1,-1),-1))</f>
        <v>0</v>
      </c>
      <c r="Q169" s="18"/>
      <c r="R169" s="35">
        <f>(10^((100-3+10*LOG10(1/(4*PI()*(3+J169/2)^2)))/10)*COS((90-(30+L169*6))/180*PI()))/(10^((100+10*LOG10(1/(4*PI()*(3+J169/2)^2)))/10)+10^((100-3+10*LOG10(1/(4*PI()*(3+J169/2)^2)))/10))</f>
        <v>0.27009887926405357</v>
      </c>
      <c r="S169" s="7">
        <f>IF(Q169="",0,IF(ABS(VALUE(Q169)-R169)&lt;=0.05,1,-1))</f>
        <v>0</v>
      </c>
      <c r="T169" s="18"/>
      <c r="U169" s="76">
        <f>10*LOG10(10^((100+10*LOG10(1/(4*PI()*(3+J169/2)^2)))/10)+10^((100-3+10*LOG10(1/(4*PI()*(3+J169/2)^2)))/10)+10^((100+10*LOG10(4*(1+L169/10)/(0.16*(2000+K169*100))))/10))-100+31</f>
        <v>13.385065711613109</v>
      </c>
      <c r="V169" s="7">
        <f>IF(T169="",0,IF(EXACT(RIGHT(T169,2),"dB"),IF(ABS(VALUE(LEFT(T169,FIND(" ",T169,1)))-U169)&lt;=0.5,1,-1),-1))</f>
        <v>0</v>
      </c>
      <c r="W169" s="58">
        <v>0.63639999999999997</v>
      </c>
      <c r="X169" s="35">
        <f>(0.5+L169/20)/(1+10^(-(5+K169)/10))</f>
        <v>0.63636363636363624</v>
      </c>
      <c r="Y169" s="7">
        <f>IF(W169="",0,IF(ABS(VALUE(W169)-X169)&lt;=0.05,1,-1))</f>
        <v>1</v>
      </c>
      <c r="Z169" s="34" t="s">
        <v>175</v>
      </c>
      <c r="AA169" s="76">
        <f>10*LOG10(1+((100+K169*10+L169)*(0.5+J169/20))/((0.1+J169/100)*(6*(5+L169/2)^2)))</f>
        <v>5.5859429754687202</v>
      </c>
      <c r="AB169" s="7">
        <f>IF(Z169="",0,IF(EXACT(RIGHT(Z169,2),"dB"),IF(ABS(VALUE(LEFT(Z169,FIND(" ",Z169,1)))-AA169)&lt;=0.5,1,-1),-1))</f>
        <v>-1</v>
      </c>
      <c r="AC169" s="34">
        <v>0.53</v>
      </c>
      <c r="AD169" s="35">
        <f>0.3+L169/30+0.1</f>
        <v>0.53333333333333333</v>
      </c>
      <c r="AE169" s="7">
        <f>IF(AC169="",0,IF(ABS(VALUE(AC169)-AD169)&lt;=0.05,1,-1))</f>
        <v>1</v>
      </c>
      <c r="AF169" s="34">
        <v>0.47</v>
      </c>
      <c r="AG169" s="35">
        <f>1-AD169</f>
        <v>0.46666666666666667</v>
      </c>
      <c r="AH169" s="7">
        <f>IF(AF169="",0,IF(ABS(VALUE(AF169)-AG169)&lt;=0.05,1,-1))</f>
        <v>1</v>
      </c>
      <c r="AI169" s="73" t="s">
        <v>174</v>
      </c>
      <c r="AJ169" s="76">
        <f>-10*LOG10(1-(0.3+K169/20))</f>
        <v>3.467874862246564</v>
      </c>
      <c r="AK169" s="7">
        <f>IF(AI169="",0,IF(EXACT(RIGHT(AI169,2),"dB"),IF(ABS(ABS(VALUE(LEFT(AI169,FIND(" ",AI169,1))))-AJ169)&lt;=0.5,1,-1),-1))</f>
        <v>1</v>
      </c>
      <c r="AL169" s="34">
        <v>0.85799999999999998</v>
      </c>
      <c r="AM169" s="35">
        <f>((0.16*(200+K169*10+L169)/(2+K169/10))-0.16*(200+K169*10+L169)/(6+L169/10))/10</f>
        <v>0.99060000000000004</v>
      </c>
      <c r="AN169" s="7">
        <f>IF(AL169="",0,IF(ABS(VALUE(AL169)-AM169)&lt;=0.05,1,-1))</f>
        <v>-1</v>
      </c>
      <c r="AO169" s="34" t="s">
        <v>1026</v>
      </c>
      <c r="AP169" s="35">
        <f>((0.16*(200+K169*10+L169)/(2+K169/10))-0.16*(200+K169*10+L169)/(6+L169/10))/(10+J169)</f>
        <v>0.61912500000000004</v>
      </c>
      <c r="AQ169" s="7">
        <f>IF(AO169="",0,IF(EXACT(RIGHT(AO169,2),"m2"),IF(ABS(VALUE(LEFT(AO169,FIND(" ",AO169,1)))-AP169)&lt;=0.05,1,-1),-1))</f>
        <v>-1</v>
      </c>
      <c r="AR169" s="48">
        <f>M169+P169+S169+V169+Y169+AB169+AE169+AH169+AK169+AN169+AQ169</f>
        <v>3</v>
      </c>
    </row>
    <row r="170" spans="1:44" ht="12.75" x14ac:dyDescent="0.2">
      <c r="A170" s="32">
        <v>168</v>
      </c>
      <c r="B170" s="33">
        <v>41950.768848923617</v>
      </c>
      <c r="C170" s="34" t="s">
        <v>479</v>
      </c>
      <c r="D170" s="34" t="s">
        <v>480</v>
      </c>
      <c r="E170" s="17">
        <v>244431</v>
      </c>
      <c r="F170" s="6">
        <v>1</v>
      </c>
      <c r="G170" s="6">
        <f>INT(E170/100000)</f>
        <v>2</v>
      </c>
      <c r="H170" s="6">
        <f>INT(($E170-100000*G170)/10000)</f>
        <v>4</v>
      </c>
      <c r="I170" s="6">
        <f>INT(($E170-100000*G170-10000*H170)/1000)</f>
        <v>4</v>
      </c>
      <c r="J170" s="6">
        <f>INT(($E170-100000*$G170-10000*$H170-1000*$I170)/100)</f>
        <v>4</v>
      </c>
      <c r="K170" s="6">
        <f>INT(($E170-100000*$G170-10000*$H170-1000*$I170-100*$J170)/10)</f>
        <v>3</v>
      </c>
      <c r="L170" s="6">
        <f>INT(($E170-100000*$G170-10000*$H170-1000*$I170-100*$J170-10*$K170))</f>
        <v>1</v>
      </c>
      <c r="M170" s="7">
        <v>2</v>
      </c>
      <c r="N170" s="36">
        <v>3.984</v>
      </c>
      <c r="O170" s="76">
        <f>10*LOG10((10^((100+10*LOG10(1/(4*PI()*(3+J170/2)^2)))/10)+10^((100-3+10*LOG10(1/(4*PI()*(3+J170/2)^2)))/10))/10^((100+10*LOG10(4*(1+L170/10)/(0.16*(2000+K170*100))))/10))</f>
        <v>-3.9831986807031687</v>
      </c>
      <c r="P170" s="7">
        <f>IF(N170="",0,IF(EXACT(RIGHT(N170,2),"dB"),IF(ABS(VALUE(LEFT(N170,FIND(" ",N170,1)))-O170)&lt;=0.5,1,-1),-1))</f>
        <v>-1</v>
      </c>
      <c r="Q170" s="18"/>
      <c r="R170" s="35">
        <f>(10^((100-3+10*LOG10(1/(4*PI()*(3+J170/2)^2)))/10)*COS((90-(30+L170*6))/180*PI()))/(10^((100+10*LOG10(1/(4*PI()*(3+J170/2)^2)))/10)+10^((100-3+10*LOG10(1/(4*PI()*(3+J170/2)^2)))/10))</f>
        <v>0.19623832255191975</v>
      </c>
      <c r="S170" s="7">
        <f>IF(Q170="",0,IF(ABS(VALUE(Q170)-R170)&lt;=0.05,1,-1))</f>
        <v>0</v>
      </c>
      <c r="T170" s="18"/>
      <c r="U170" s="76">
        <f>10*LOG10(10^((100+10*LOG10(1/(4*PI()*(3+J170/2)^2)))/10)+10^((100-3+10*LOG10(1/(4*PI()*(3+J170/2)^2)))/10)+10^((100+10*LOG10(4*(1+L170/10)/(0.16*(2000+K170*100))))/10))-100+31</f>
        <v>13.236243961328043</v>
      </c>
      <c r="V170" s="7">
        <f>IF(T170="",0,IF(EXACT(RIGHT(T170,2),"dB"),IF(ABS(VALUE(LEFT(T170,FIND(" ",T170,1)))-U170)&lt;=0.5,1,-1),-1))</f>
        <v>0</v>
      </c>
      <c r="W170" s="58">
        <v>0.60399999999999998</v>
      </c>
      <c r="X170" s="35">
        <f>(0.5+L170/20)/(1+10^(-(5+K170)/10))</f>
        <v>0.47475621126823458</v>
      </c>
      <c r="Y170" s="7">
        <f>IF(W170="",0,IF(ABS(VALUE(W170)-X170)&lt;=0.05,1,-1))</f>
        <v>-1</v>
      </c>
      <c r="Z170" s="34" t="s">
        <v>482</v>
      </c>
      <c r="AA170" s="76">
        <f>10*LOG10(1+((100+K170*10+L170)*(0.5+J170/20))/((0.1+J170/100)*(6*(5+L170/2)^2)))</f>
        <v>6.6358931592628192</v>
      </c>
      <c r="AB170" s="7">
        <f>IF(Z170="",0,IF(EXACT(RIGHT(Z170,2),"dB"),IF(ABS(VALUE(LEFT(Z170,FIND(" ",Z170,1)))-AA170)&lt;=0.5,1,-1),-1))</f>
        <v>-1</v>
      </c>
      <c r="AC170" s="34">
        <v>0.4</v>
      </c>
      <c r="AD170" s="35">
        <f>0.3+L170/30+0.1</f>
        <v>0.43333333333333335</v>
      </c>
      <c r="AE170" s="7">
        <f>IF(AC170="",0,IF(ABS(VALUE(AC170)-AD170)&lt;=0.05,1,-1))</f>
        <v>1</v>
      </c>
      <c r="AF170" s="34">
        <v>0.6</v>
      </c>
      <c r="AG170" s="35">
        <f>1-AD170</f>
        <v>0.56666666666666665</v>
      </c>
      <c r="AH170" s="7">
        <f>IF(AF170="",0,IF(ABS(VALUE(AF170)-AG170)&lt;=0.05,1,-1))</f>
        <v>1</v>
      </c>
      <c r="AI170" s="36" t="s">
        <v>481</v>
      </c>
      <c r="AJ170" s="76">
        <f>-10*LOG10(1-(0.3+K170/20))</f>
        <v>2.5963731050575611</v>
      </c>
      <c r="AK170" s="7">
        <f>IF(AI170="",0,IF(EXACT(RIGHT(AI170,2),"dB"),IF(ABS(ABS(VALUE(LEFT(AI170,FIND(" ",AI170,1))))-AJ170)&lt;=0.5,1,-1),-1))</f>
        <v>-1</v>
      </c>
      <c r="AL170" s="34">
        <v>1</v>
      </c>
      <c r="AM170" s="35">
        <f>((0.16*(200+K170*10+L170)/(2+K170/10))-0.16*(200+K170*10+L170)/(6+L170/10))/10</f>
        <v>1.0010548823948686</v>
      </c>
      <c r="AN170" s="7">
        <f>IF(AL170="",0,IF(ABS(VALUE(AL170)-AM170)&lt;=0.05,1,-1))</f>
        <v>1</v>
      </c>
      <c r="AO170" s="34" t="s">
        <v>483</v>
      </c>
      <c r="AP170" s="35">
        <f>((0.16*(200+K170*10+L170)/(2+K170/10))-0.16*(200+K170*10+L170)/(6+L170/10))/(10+J170)</f>
        <v>0.71503920171062041</v>
      </c>
      <c r="AQ170" s="7">
        <f>IF(AO170="",0,IF(EXACT(RIGHT(AO170,2),"m2"),IF(ABS(VALUE(LEFT(AO170,FIND(" ",AO170,1)))-AP170)&lt;=0.05,1,-1),-1))</f>
        <v>1</v>
      </c>
      <c r="AR170" s="48">
        <f>M170+P170+S170+V170+Y170+AB170+AE170+AH170+AK170+AN170+AQ170</f>
        <v>2</v>
      </c>
    </row>
    <row r="171" spans="1:44" ht="12.75" x14ac:dyDescent="0.2">
      <c r="A171" s="32">
        <v>169</v>
      </c>
      <c r="B171" s="33">
        <v>41950.768947766199</v>
      </c>
      <c r="C171" s="34" t="s">
        <v>506</v>
      </c>
      <c r="D171" s="34" t="s">
        <v>507</v>
      </c>
      <c r="E171" s="17">
        <v>255677</v>
      </c>
      <c r="F171" s="6">
        <v>1</v>
      </c>
      <c r="G171" s="6">
        <f>INT(E171/100000)</f>
        <v>2</v>
      </c>
      <c r="H171" s="6">
        <f>INT(($E171-100000*G171)/10000)</f>
        <v>5</v>
      </c>
      <c r="I171" s="6">
        <f>INT(($E171-100000*G171-10000*H171)/1000)</f>
        <v>5</v>
      </c>
      <c r="J171" s="6">
        <f>INT(($E171-100000*$G171-10000*$H171-1000*$I171)/100)</f>
        <v>6</v>
      </c>
      <c r="K171" s="6">
        <f>INT(($E171-100000*$G171-10000*$H171-1000*$I171-100*$J171)/10)</f>
        <v>7</v>
      </c>
      <c r="L171" s="6">
        <f>INT(($E171-100000*$G171-10000*$H171-1000*$I171-100*$J171-10*$K171))</f>
        <v>7</v>
      </c>
      <c r="M171" s="7">
        <v>2</v>
      </c>
      <c r="N171" s="18"/>
      <c r="O171" s="76">
        <f>10*LOG10((10^((100+10*LOG10(1/(4*PI()*(3+J171/2)^2)))/10)+10^((100-3+10*LOG10(1/(4*PI()*(3+J171/2)^2)))/10))/10^((100+10*LOG10(4*(1+L171/10)/(0.16*(2000+K171*100))))/10))</f>
        <v>-6.7610266824422247</v>
      </c>
      <c r="P171" s="7">
        <f>IF(N171="",0,IF(EXACT(RIGHT(N171,2),"dB"),IF(ABS(VALUE(LEFT(N171,FIND(" ",N171,1)))-O171)&lt;=0.5,1,-1),-1))</f>
        <v>0</v>
      </c>
      <c r="Q171" s="18"/>
      <c r="R171" s="35">
        <f>(10^((100-3+10*LOG10(1/(4*PI()*(3+J171/2)^2)))/10)*COS((90-(30+L171*6))/180*PI()))/(10^((100+10*LOG10(1/(4*PI()*(3+J171/2)^2)))/10)+10^((100-3+10*LOG10(1/(4*PI()*(3+J171/2)^2)))/10))</f>
        <v>0.31752027578427189</v>
      </c>
      <c r="S171" s="7">
        <f>IF(Q171="",0,IF(ABS(VALUE(Q171)-R171)&lt;=0.05,1,-1))</f>
        <v>0</v>
      </c>
      <c r="T171" s="18"/>
      <c r="U171" s="76">
        <f>10*LOG10(10^((100+10*LOG10(1/(4*PI()*(3+J171/2)^2)))/10)+10^((100-3+10*LOG10(1/(4*PI()*(3+J171/2)^2)))/10)+10^((100+10*LOG10(4*(1+L171/10)/(0.16*(2000+K171*100))))/10))-100+31</f>
        <v>13.80102231147896</v>
      </c>
      <c r="V171" s="7">
        <f>IF(T171="",0,IF(EXACT(RIGHT(T171,2),"dB"),IF(ABS(VALUE(LEFT(T171,FIND(" ",T171,1)))-U171)&lt;=0.5,1,-1),-1))</f>
        <v>0</v>
      </c>
      <c r="W171" s="58">
        <v>0.79900000000000004</v>
      </c>
      <c r="X171" s="35">
        <f>(0.5+L171/20)/(1+10^(-(5+K171)/10))</f>
        <v>0.7995516983626475</v>
      </c>
      <c r="Y171" s="7">
        <f>IF(W171="",0,IF(ABS(VALUE(W171)-X171)&lt;=0.05,1,-1))</f>
        <v>1</v>
      </c>
      <c r="Z171" s="34" t="s">
        <v>508</v>
      </c>
      <c r="AA171" s="76">
        <f>10*LOG10(1+((100+K171*10+L171)*(0.5+J171/20))/((0.1+J171/100)*(6*(5+L171/2)^2)))</f>
        <v>4.8309103231722403</v>
      </c>
      <c r="AB171" s="7">
        <f>IF(Z171="",0,IF(EXACT(RIGHT(Z171,2),"dB"),IF(ABS(VALUE(LEFT(Z171,FIND(" ",Z171,1)))-AA171)&lt;=0.5,1,-1),-1))</f>
        <v>-1</v>
      </c>
      <c r="AC171" s="34">
        <v>0.6</v>
      </c>
      <c r="AD171" s="35">
        <f>0.3+L171/30+0.1</f>
        <v>0.6333333333333333</v>
      </c>
      <c r="AE171" s="7">
        <f>IF(AC171="",0,IF(ABS(VALUE(AC171)-AD171)&lt;=0.05,1,-1))</f>
        <v>1</v>
      </c>
      <c r="AF171" s="36" t="s">
        <v>509</v>
      </c>
      <c r="AG171" s="35">
        <f>1-AD171</f>
        <v>0.3666666666666667</v>
      </c>
      <c r="AH171" s="7">
        <v>-1</v>
      </c>
      <c r="AI171" s="18"/>
      <c r="AJ171" s="76">
        <f>-10*LOG10(1-(0.3+K171/20))</f>
        <v>4.5593195564972424</v>
      </c>
      <c r="AK171" s="7">
        <f>IF(AI171="",0,IF(EXACT(RIGHT(AI171,2),"dB"),IF(ABS(ABS(VALUE(LEFT(AI171,FIND(" ",AI171,1))))-AJ171)&lt;=0.5,1,-1),-1))</f>
        <v>0</v>
      </c>
      <c r="AL171" s="34">
        <v>0.97</v>
      </c>
      <c r="AM171" s="35">
        <f>((0.16*(200+K171*10+L171)/(2+K171/10))-0.16*(200+K171*10+L171)/(6+L171/10))/10</f>
        <v>0.9799889441680486</v>
      </c>
      <c r="AN171" s="7">
        <f>IF(AL171="",0,IF(ABS(VALUE(AL171)-AM171)&lt;=0.05,1,-1))</f>
        <v>1</v>
      </c>
      <c r="AO171" s="36" t="s">
        <v>510</v>
      </c>
      <c r="AP171" s="35">
        <f>((0.16*(200+K171*10+L171)/(2+K171/10))-0.16*(200+K171*10+L171)/(6+L171/10))/(10+J171)</f>
        <v>0.61249309010503039</v>
      </c>
      <c r="AQ171" s="7">
        <v>-1</v>
      </c>
      <c r="AR171" s="48">
        <f>M171+P171+S171+V171+Y171+AB171+AE171+AH171+AK171+AN171+AQ171</f>
        <v>2</v>
      </c>
    </row>
    <row r="172" spans="1:44" ht="12.75" x14ac:dyDescent="0.2">
      <c r="A172" s="32">
        <v>170</v>
      </c>
      <c r="B172" s="33">
        <v>41950.770198321756</v>
      </c>
      <c r="C172" s="34" t="s">
        <v>653</v>
      </c>
      <c r="D172" s="34" t="s">
        <v>654</v>
      </c>
      <c r="E172" s="17">
        <v>242354</v>
      </c>
      <c r="F172" s="6">
        <v>1</v>
      </c>
      <c r="G172" s="6">
        <f>INT(E172/100000)</f>
        <v>2</v>
      </c>
      <c r="H172" s="6">
        <f>INT(($E172-100000*G172)/10000)</f>
        <v>4</v>
      </c>
      <c r="I172" s="6">
        <f>INT(($E172-100000*G172-10000*H172)/1000)</f>
        <v>2</v>
      </c>
      <c r="J172" s="6">
        <f>INT(($E172-100000*$G172-10000*$H172-1000*$I172)/100)</f>
        <v>3</v>
      </c>
      <c r="K172" s="6">
        <f>INT(($E172-100000*$G172-10000*$H172-1000*$I172-100*$J172)/10)</f>
        <v>5</v>
      </c>
      <c r="L172" s="6">
        <f>INT(($E172-100000*$G172-10000*$H172-1000*$I172-100*$J172-10*$K172))</f>
        <v>4</v>
      </c>
      <c r="M172" s="7">
        <v>2</v>
      </c>
      <c r="N172" s="36" t="s">
        <v>655</v>
      </c>
      <c r="O172" s="76">
        <f>10*LOG10((10^((100+10*LOG10(1/(4*PI()*(3+J172/2)^2)))/10)+10^((100-3+10*LOG10(1/(4*PI()*(3+J172/2)^2)))/10))/10^((100+10*LOG10(4*(1+L172/10)/(0.16*(2000+K172*100))))/10))</f>
        <v>-3.7532806481453584</v>
      </c>
      <c r="P172" s="7">
        <f>IF(N172="",0,IF(EXACT(RIGHT(N172,2),"dB"),IF(ABS(VALUE(LEFT(N172,FIND(" ",N172,1)))-O172)&lt;=0.5,1,-1),-1))</f>
        <v>-1</v>
      </c>
      <c r="Q172" s="34">
        <v>53.067999999999998</v>
      </c>
      <c r="R172" s="35">
        <f>(10^((100-3+10*LOG10(1/(4*PI()*(3+J172/2)^2)))/10)*COS((90-(30+L172*6))/180*PI()))/(10^((100+10*LOG10(1/(4*PI()*(3+J172/2)^2)))/10)+10^((100-3+10*LOG10(1/(4*PI()*(3+J172/2)^2)))/10))</f>
        <v>0.2700988792640529</v>
      </c>
      <c r="S172" s="7">
        <f>IF(Q172="",0,IF(ABS(VALUE(Q172)-R172)&lt;=0.05,1,-1))</f>
        <v>-1</v>
      </c>
      <c r="T172" s="34" t="s">
        <v>656</v>
      </c>
      <c r="U172" s="76">
        <f>10*LOG10(10^((100+10*LOG10(1/(4*PI()*(3+J172/2)^2)))/10)+10^((100-3+10*LOG10(1/(4*PI()*(3+J172/2)^2)))/10)+10^((100+10*LOG10(4*(1+L172/10)/(0.16*(2000+K172*100))))/10))-100+31</f>
        <v>13.988376478845282</v>
      </c>
      <c r="V172" s="7">
        <f>IF(T172="",0,IF(EXACT(RIGHT(T172,2),"dB"),IF(ABS(VALUE(LEFT(T172,FIND(" ",T172,1)))-U172)&lt;=0.5,1,-1),-1))</f>
        <v>-1</v>
      </c>
      <c r="W172" s="58">
        <v>0.63600000000000001</v>
      </c>
      <c r="X172" s="35">
        <f>(0.5+L172/20)/(1+10^(-(5+K172)/10))</f>
        <v>0.63636363636363624</v>
      </c>
      <c r="Y172" s="7">
        <f>IF(W172="",0,IF(ABS(VALUE(W172)-X172)&lt;=0.05,1,-1))</f>
        <v>1</v>
      </c>
      <c r="Z172" s="36" t="s">
        <v>658</v>
      </c>
      <c r="AA172" s="76">
        <f>10*LOG10(1+((100+K172*10+L172)*(0.5+J172/20))/((0.1+J172/100)*(6*(5+L172/2)^2)))</f>
        <v>5.585942975468722</v>
      </c>
      <c r="AB172" s="7">
        <f>IF(Z172="",0,IF(EXACT(RIGHT(Z172,2),"dB"),IF(ABS(VALUE(LEFT(Z172,FIND(" ",Z172,1)))-AA172)&lt;=0.5,1,-1),-1))</f>
        <v>-1</v>
      </c>
      <c r="AC172" s="34">
        <v>0.53300000000000003</v>
      </c>
      <c r="AD172" s="35">
        <f>0.3+L172/30+0.1</f>
        <v>0.53333333333333333</v>
      </c>
      <c r="AE172" s="7">
        <f>IF(AC172="",0,IF(ABS(VALUE(AC172)-AD172)&lt;=0.05,1,-1))</f>
        <v>1</v>
      </c>
      <c r="AF172" s="34">
        <v>0.47099999999999997</v>
      </c>
      <c r="AG172" s="35">
        <f>1-AD172</f>
        <v>0.46666666666666667</v>
      </c>
      <c r="AH172" s="7">
        <f>IF(AF172="",0,IF(ABS(VALUE(AF172)-AG172)&lt;=0.05,1,-1))</f>
        <v>1</v>
      </c>
      <c r="AI172" s="36" t="s">
        <v>657</v>
      </c>
      <c r="AJ172" s="76">
        <f>-10*LOG10(1-(0.3+K172/20))</f>
        <v>3.467874862246564</v>
      </c>
      <c r="AK172" s="7">
        <f>IF(AI172="",0,IF(EXACT(RIGHT(AI172,2),"dB"),IF(ABS(ABS(VALUE(LEFT(AI172,FIND(" ",AI172,1))))-AJ172)&lt;=0.5,1,-1),-1))</f>
        <v>-1</v>
      </c>
      <c r="AL172" s="34">
        <v>0.99099999999999999</v>
      </c>
      <c r="AM172" s="35">
        <f>((0.16*(200+K172*10+L172)/(2+K172/10))-0.16*(200+K172*10+L172)/(6+L172/10))/10</f>
        <v>0.99060000000000004</v>
      </c>
      <c r="AN172" s="7">
        <f>IF(AL172="",0,IF(ABS(VALUE(AL172)-AM172)&lt;=0.05,1,-1))</f>
        <v>1</v>
      </c>
      <c r="AO172" s="34" t="s">
        <v>1035</v>
      </c>
      <c r="AP172" s="35">
        <f>((0.16*(200+K172*10+L172)/(2+K172/10))-0.16*(200+K172*10+L172)/(6+L172/10))/(10+J172)</f>
        <v>0.76200000000000001</v>
      </c>
      <c r="AQ172" s="7">
        <f>IF(AO172="",0,IF(EXACT(RIGHT(AO172,2),"m2"),IF(ABS(VALUE(LEFT(AO172,FIND(" ",AO172,1)))-AP172)&lt;=0.05,1,-1),-1))</f>
        <v>1</v>
      </c>
      <c r="AR172" s="48">
        <f>M172+P172+S172+V172+Y172+AB172+AE172+AH172+AK172+AN172+AQ172</f>
        <v>2</v>
      </c>
    </row>
    <row r="173" spans="1:44" ht="12.75" x14ac:dyDescent="0.2">
      <c r="A173" s="32">
        <v>171</v>
      </c>
      <c r="B173" s="33">
        <v>41950.771684664345</v>
      </c>
      <c r="C173" s="34" t="s">
        <v>793</v>
      </c>
      <c r="D173" s="34" t="s">
        <v>794</v>
      </c>
      <c r="E173" s="17">
        <v>242327</v>
      </c>
      <c r="F173" s="6">
        <v>1</v>
      </c>
      <c r="G173" s="6">
        <f>INT(E173/100000)</f>
        <v>2</v>
      </c>
      <c r="H173" s="6">
        <f>INT(($E173-100000*G173)/10000)</f>
        <v>4</v>
      </c>
      <c r="I173" s="6">
        <f>INT(($E173-100000*G173-10000*H173)/1000)</f>
        <v>2</v>
      </c>
      <c r="J173" s="6">
        <f>INT(($E173-100000*$G173-10000*$H173-1000*$I173)/100)</f>
        <v>3</v>
      </c>
      <c r="K173" s="6">
        <f>INT(($E173-100000*$G173-10000*$H173-1000*$I173-100*$J173)/10)</f>
        <v>2</v>
      </c>
      <c r="L173" s="6">
        <f>INT(($E173-100000*$G173-10000*$H173-1000*$I173-100*$J173-10*$K173))</f>
        <v>7</v>
      </c>
      <c r="M173" s="7">
        <v>2</v>
      </c>
      <c r="N173" s="34" t="s">
        <v>795</v>
      </c>
      <c r="O173" s="76">
        <f>10*LOG10((10^((100+10*LOG10(1/(4*PI()*(3+J173/2)^2)))/10)+10^((100-3+10*LOG10(1/(4*PI()*(3+J173/2)^2)))/10))/10^((100+10*LOG10(4*(1+L173/10)/(0.16*(2000+K173*100))))/10))</f>
        <v>-5.151662783644035</v>
      </c>
      <c r="P173" s="7">
        <f>IF(N173="",0,IF(EXACT(RIGHT(N173,2),"dB"),IF(ABS(VALUE(LEFT(N173,FIND(" ",N173,1)))-O173)&lt;=0.5,1,-1),-1))</f>
        <v>-1</v>
      </c>
      <c r="Q173" s="18"/>
      <c r="R173" s="35">
        <f>(10^((100-3+10*LOG10(1/(4*PI()*(3+J173/2)^2)))/10)*COS((90-(30+L173*6))/180*PI()))/(10^((100+10*LOG10(1/(4*PI()*(3+J173/2)^2)))/10)+10^((100-3+10*LOG10(1/(4*PI()*(3+J173/2)^2)))/10))</f>
        <v>0.31752027578427117</v>
      </c>
      <c r="S173" s="7">
        <f>IF(Q173="",0,IF(ABS(VALUE(Q173)-R173)&lt;=0.05,1,-1))</f>
        <v>0</v>
      </c>
      <c r="T173" s="18"/>
      <c r="U173" s="76">
        <f>10*LOG10(10^((100+10*LOG10(1/(4*PI()*(3+J173/2)^2)))/10)+10^((100-3+10*LOG10(1/(4*PI()*(3+J173/2)^2)))/10)+10^((100+10*LOG10(4*(1+L173/10)/(0.16*(2000+K173*100))))/10))-100+31</f>
        <v>15.017015967718663</v>
      </c>
      <c r="V173" s="7">
        <f>IF(T173="",0,IF(EXACT(RIGHT(T173,2),"dB"),IF(ABS(VALUE(LEFT(T173,FIND(" ",T173,1)))-U173)&lt;=0.5,1,-1),-1))</f>
        <v>0</v>
      </c>
      <c r="W173" s="58">
        <v>0.70860000000000001</v>
      </c>
      <c r="X173" s="35">
        <f>(0.5+L173/20)/(1+10^(-(5+K173)/10))</f>
        <v>0.70861309880592238</v>
      </c>
      <c r="Y173" s="7">
        <f>IF(W173="",0,IF(ABS(VALUE(W173)-X173)&lt;=0.05,1,-1))</f>
        <v>1</v>
      </c>
      <c r="Z173" s="34" t="s">
        <v>797</v>
      </c>
      <c r="AA173" s="76">
        <f>10*LOG10(1+((100+K173*10+L173)*(0.5+J173/20))/((0.1+J173/100)*(6*(5+L173/2)^2)))</f>
        <v>3.9178542468785911</v>
      </c>
      <c r="AB173" s="7">
        <f>IF(Z173="",0,IF(EXACT(RIGHT(Z173,2),"dB"),IF(ABS(VALUE(LEFT(Z173,FIND(" ",Z173,1)))-AA173)&lt;=0.5,1,-1),-1))</f>
        <v>1</v>
      </c>
      <c r="AC173" s="34">
        <v>0.63333333000000003</v>
      </c>
      <c r="AD173" s="35">
        <f>0.3+L173/30+0.1</f>
        <v>0.6333333333333333</v>
      </c>
      <c r="AE173" s="7">
        <f>IF(AC173="",0,IF(ABS(VALUE(AC173)-AD173)&lt;=0.05,1,-1))</f>
        <v>1</v>
      </c>
      <c r="AF173" s="34">
        <v>0.36666665999999998</v>
      </c>
      <c r="AG173" s="35">
        <f>1-AD173</f>
        <v>0.3666666666666667</v>
      </c>
      <c r="AH173" s="7">
        <f>IF(AF173="",0,IF(ABS(VALUE(AF173)-AG173)&lt;=0.05,1,-1))</f>
        <v>1</v>
      </c>
      <c r="AI173" s="34" t="s">
        <v>796</v>
      </c>
      <c r="AJ173" s="76">
        <f>-10*LOG10(1-(0.3+K173/20))</f>
        <v>2.2184874961635641</v>
      </c>
      <c r="AK173" s="7">
        <f>IF(AI173="",0,IF(EXACT(RIGHT(AI173,2),"dB"),IF(ABS(ABS(VALUE(LEFT(AI173,FIND(" ",AI173,1))))-AJ173)&lt;=0.5,1,-1),-1))</f>
        <v>-1</v>
      </c>
      <c r="AL173" s="34">
        <v>1.0452999999999999</v>
      </c>
      <c r="AM173" s="35">
        <f>((0.16*(200+K173*10+L173)/(2+K173/10))-0.16*(200+K173*10+L173)/(6+L173/10))/10</f>
        <v>1.1088195386702848</v>
      </c>
      <c r="AN173" s="7">
        <f>IF(AL173="",0,IF(ABS(VALUE(AL173)-AM173)&lt;=0.05,1,-1))</f>
        <v>-1</v>
      </c>
      <c r="AO173" s="34" t="s">
        <v>798</v>
      </c>
      <c r="AP173" s="35">
        <f>((0.16*(200+K173*10+L173)/(2+K173/10))-0.16*(200+K173*10+L173)/(6+L173/10))/(10+J173)</f>
        <v>0.85293810666944991</v>
      </c>
      <c r="AQ173" s="7">
        <f>IF(AO173="",0,IF(EXACT(RIGHT(AO173,2),"m2"),IF(ABS(VALUE(LEFT(AO173,FIND(" ",AO173,1)))-AP173)&lt;=0.05,1,-1),-1))</f>
        <v>-1</v>
      </c>
      <c r="AR173" s="48">
        <f>M173+P173+S173+V173+Y173+AB173+AE173+AH173+AK173+AN173+AQ173</f>
        <v>2</v>
      </c>
    </row>
    <row r="174" spans="1:44" ht="12.75" x14ac:dyDescent="0.2">
      <c r="A174" s="32">
        <v>172</v>
      </c>
      <c r="B174" s="33">
        <v>41950.776312210648</v>
      </c>
      <c r="C174" s="34" t="s">
        <v>916</v>
      </c>
      <c r="D174" s="34" t="s">
        <v>917</v>
      </c>
      <c r="E174" s="17">
        <v>179307</v>
      </c>
      <c r="F174" s="6">
        <v>1</v>
      </c>
      <c r="G174" s="6">
        <f>INT(E174/100000)</f>
        <v>1</v>
      </c>
      <c r="H174" s="6">
        <f>INT(($E174-100000*G174)/10000)</f>
        <v>7</v>
      </c>
      <c r="I174" s="6">
        <f>INT(($E174-100000*G174-10000*H174)/1000)</f>
        <v>9</v>
      </c>
      <c r="J174" s="6">
        <f>INT(($E174-100000*$G174-10000*$H174-1000*$I174)/100)</f>
        <v>3</v>
      </c>
      <c r="K174" s="6">
        <f>INT(($E174-100000*$G174-10000*$H174-1000*$I174-100*$J174)/10)</f>
        <v>0</v>
      </c>
      <c r="L174" s="6">
        <f>INT(($E174-100000*$G174-10000*$H174-1000*$I174-100*$J174-10*$K174))</f>
        <v>7</v>
      </c>
      <c r="M174" s="7">
        <v>2</v>
      </c>
      <c r="N174" s="36" t="s">
        <v>918</v>
      </c>
      <c r="O174" s="76">
        <f>10*LOG10((10^((100+10*LOG10(1/(4*PI()*(3+J174/2)^2)))/10)+10^((100-3+10*LOG10(1/(4*PI()*(3+J174/2)^2)))/10))/10^((100+10*LOG10(4*(1+L174/10)/(0.16*(2000+K174*100))))/10))</f>
        <v>-5.5655896352262886</v>
      </c>
      <c r="P174" s="7">
        <f>IF(N174="",0,IF(EXACT(RIGHT(N174,2),"dB"),IF(ABS(VALUE(LEFT(N174,FIND(" ",N174,1)))-O174)&lt;=0.5,1,-1),-1))</f>
        <v>-1</v>
      </c>
      <c r="Q174" s="18"/>
      <c r="R174" s="35">
        <f>(10^((100-3+10*LOG10(1/(4*PI()*(3+J174/2)^2)))/10)*COS((90-(30+L174*6))/180*PI()))/(10^((100+10*LOG10(1/(4*PI()*(3+J174/2)^2)))/10)+10^((100-3+10*LOG10(1/(4*PI()*(3+J174/2)^2)))/10))</f>
        <v>0.31752027578427117</v>
      </c>
      <c r="S174" s="7">
        <f>IF(Q174="",0,IF(ABS(VALUE(Q174)-R174)&lt;=0.05,1,-1))</f>
        <v>0</v>
      </c>
      <c r="T174" s="18"/>
      <c r="U174" s="76">
        <f>10*LOG10(10^((100+10*LOG10(1/(4*PI()*(3+J174/2)^2)))/10)+10^((100-3+10*LOG10(1/(4*PI()*(3+J174/2)^2)))/10)+10^((100+10*LOG10(4*(1+L174/10)/(0.16*(2000+K174*100))))/10))-100+31</f>
        <v>15.33758525409408</v>
      </c>
      <c r="V174" s="7">
        <f>IF(T174="",0,IF(EXACT(RIGHT(T174,2),"dB"),IF(ABS(VALUE(LEFT(T174,FIND(" ",T174,1)))-U174)&lt;=0.5,1,-1),-1))</f>
        <v>0</v>
      </c>
      <c r="W174" s="60"/>
      <c r="X174" s="35">
        <f>(0.5+L174/20)/(1+10^(-(5+K174)/10))</f>
        <v>0.64578488765076414</v>
      </c>
      <c r="Y174" s="7">
        <f>IF(W174="",0,IF(ABS(VALUE(W174)-X174)&lt;=0.05,1,-1))</f>
        <v>0</v>
      </c>
      <c r="Z174" s="36">
        <v>1.1599999999999999</v>
      </c>
      <c r="AA174" s="76">
        <f>10*LOG10(1+((100+K174*10+L174)*(0.5+J174/20))/((0.1+J174/100)*(6*(5+L174/2)^2)))</f>
        <v>3.4911052324290055</v>
      </c>
      <c r="AB174" s="7">
        <f>IF(Z174="",0,IF(EXACT(RIGHT(Z174,2),"dB"),IF(ABS(VALUE(LEFT(Z174,FIND(" ",Z174,1)))-AA174)&lt;=0.5,1,-1),-1))</f>
        <v>-1</v>
      </c>
      <c r="AC174" s="34">
        <v>0.63300000000000001</v>
      </c>
      <c r="AD174" s="35">
        <f>0.3+L174/30+0.1</f>
        <v>0.6333333333333333</v>
      </c>
      <c r="AE174" s="7">
        <f>IF(AC174="",0,IF(ABS(VALUE(AC174)-AD174)&lt;=0.05,1,-1))</f>
        <v>1</v>
      </c>
      <c r="AF174" s="34">
        <v>0.36699999999999999</v>
      </c>
      <c r="AG174" s="35">
        <f>1-AD174</f>
        <v>0.3666666666666667</v>
      </c>
      <c r="AH174" s="7">
        <f>IF(AF174="",0,IF(ABS(VALUE(AF174)-AG174)&lt;=0.05,1,-1))</f>
        <v>1</v>
      </c>
      <c r="AI174" s="18"/>
      <c r="AJ174" s="76">
        <f>-10*LOG10(1-(0.3+K174/20))</f>
        <v>1.5490195998574319</v>
      </c>
      <c r="AK174" s="7">
        <f>IF(AI174="",0,IF(EXACT(RIGHT(AI174,2),"dB"),IF(ABS(ABS(VALUE(LEFT(AI174,FIND(" ",AI174,1))))-AJ174)&lt;=0.5,1,-1),-1))</f>
        <v>0</v>
      </c>
      <c r="AL174" s="18"/>
      <c r="AM174" s="35">
        <f>((0.16*(200+K174*10+L174)/(2+K174/10))-0.16*(200+K174*10+L174)/(6+L174/10))/10</f>
        <v>1.1616716417910447</v>
      </c>
      <c r="AN174" s="7">
        <f>IF(AL174="",0,IF(ABS(VALUE(AL174)-AM174)&lt;=0.05,1,-1))</f>
        <v>0</v>
      </c>
      <c r="AO174" s="18"/>
      <c r="AP174" s="35">
        <f>((0.16*(200+K174*10+L174)/(2+K174/10))-0.16*(200+K174*10+L174)/(6+L174/10))/(10+J174)</f>
        <v>0.89359357060849587</v>
      </c>
      <c r="AQ174" s="7">
        <f>IF(AO174="",0,IF(EXACT(RIGHT(AO174,2),"m2"),IF(ABS(VALUE(LEFT(AO174,FIND(" ",AO174,1)))-AP174)&lt;=0.05,1,-1),-1))</f>
        <v>0</v>
      </c>
      <c r="AR174" s="48">
        <f>M174+P174+S174+V174+Y174+AB174+AE174+AH174+AK174+AN174+AQ174</f>
        <v>2</v>
      </c>
    </row>
    <row r="175" spans="1:44" ht="12.75" x14ac:dyDescent="0.2">
      <c r="A175" s="32">
        <v>173</v>
      </c>
      <c r="B175" s="33">
        <v>41950.750340925923</v>
      </c>
      <c r="C175" s="34" t="s">
        <v>21</v>
      </c>
      <c r="D175" s="34" t="s">
        <v>22</v>
      </c>
      <c r="E175" s="17">
        <v>242662</v>
      </c>
      <c r="F175" s="6">
        <v>1</v>
      </c>
      <c r="G175" s="6">
        <f>INT(E175/100000)</f>
        <v>2</v>
      </c>
      <c r="H175" s="6">
        <f>INT(($E175-100000*G175)/10000)</f>
        <v>4</v>
      </c>
      <c r="I175" s="6">
        <f>INT(($E175-100000*G175-10000*H175)/1000)</f>
        <v>2</v>
      </c>
      <c r="J175" s="6">
        <f>INT(($E175-100000*$G175-10000*$H175-1000*$I175)/100)</f>
        <v>6</v>
      </c>
      <c r="K175" s="6">
        <f>INT(($E175-100000*$G175-10000*$H175-1000*$I175-100*$J175)/10)</f>
        <v>6</v>
      </c>
      <c r="L175" s="6">
        <f>INT(($E175-100000*$G175-10000*$H175-1000*$I175-100*$J175-10*$K175))</f>
        <v>2</v>
      </c>
      <c r="M175" s="7">
        <v>2</v>
      </c>
      <c r="N175" s="18"/>
      <c r="O175" s="76">
        <f>10*LOG10((10^((100+10*LOG10(1/(4*PI()*(3+J175/2)^2)))/10)+10^((100-3+10*LOG10(1/(4*PI()*(3+J175/2)^2)))/10))/10^((100+10*LOG10(4*(1+L175/10)/(0.16*(2000+K175*100))))/10))</f>
        <v>-5.4122540910174308</v>
      </c>
      <c r="P175" s="7">
        <f>IF(N175="",0,IF(EXACT(RIGHT(N175,2),"dB"),IF(ABS(VALUE(LEFT(N175,FIND(" ",N175,1)))-O175)&lt;=0.5,1,-1),-1))</f>
        <v>0</v>
      </c>
      <c r="Q175" s="18">
        <f>(100-3+10*LOG10(1/(4*PI()*(3+J175/2)^2)))</f>
        <v>70.444876352106164</v>
      </c>
      <c r="R175" s="35">
        <f>(10^((100-3+10*LOG10(1/(4*PI()*(3+J175/2)^2)))/10)*COS((90-(30+L175*6))/180*PI()))/(10^((100+10*LOG10(1/(4*PI()*(3+J175/2)^2)))/10)+10^((100-3+10*LOG10(1/(4*PI()*(3+J175/2)^2)))/10))</f>
        <v>0.22339632926801328</v>
      </c>
      <c r="S175" s="7">
        <f>IF(Q175="",0,IF(ABS(VALUE(Q175)-R175)&lt;=0.05,1,-1))</f>
        <v>-1</v>
      </c>
      <c r="T175" s="18"/>
      <c r="U175" s="76">
        <f>10*LOG10(10^((100+10*LOG10(1/(4*PI()*(3+J175/2)^2)))/10)+10^((100-3+10*LOG10(1/(4*PI()*(3+J175/2)^2)))/10)+10^((100+10*LOG10(4*(1+L175/10)/(0.16*(2000+K175*100))))/10))-100+31</f>
        <v>12.719256827888401</v>
      </c>
      <c r="V175" s="7">
        <f>IF(T175="",0,IF(EXACT(RIGHT(T175,2),"dB"),IF(ABS(VALUE(LEFT(T175,FIND(" ",T175,1)))-U175)&lt;=0.5,1,-1),-1))</f>
        <v>0</v>
      </c>
      <c r="W175" s="60"/>
      <c r="X175" s="35">
        <f>(0.5+L175/20)/(1+10^(-(5+K175)/10))</f>
        <v>0.55584746632945581</v>
      </c>
      <c r="Y175" s="7">
        <f>IF(W175="",0,IF(ABS(VALUE(W175)-X175)&lt;=0.05,1,-1))</f>
        <v>0</v>
      </c>
      <c r="Z175" s="18"/>
      <c r="AA175" s="76">
        <f>10*LOG10(1+((100+K175*10+L175)*(0.5+J175/20))/((0.1+J175/100)*(6*(5+L175/2)^2)))</f>
        <v>6.7669360962486653</v>
      </c>
      <c r="AB175" s="7">
        <f>IF(Z175="",0,IF(EXACT(RIGHT(Z175,2),"dB"),IF(ABS(VALUE(LEFT(Z175,FIND(" ",Z175,1)))-AA175)&lt;=0.5,1,-1),-1))</f>
        <v>0</v>
      </c>
      <c r="AC175" s="18"/>
      <c r="AD175" s="35">
        <f>0.3+L175/30+0.1</f>
        <v>0.46666666666666667</v>
      </c>
      <c r="AE175" s="7">
        <f>IF(AC175="",0,IF(ABS(VALUE(AC175)-AD175)&lt;=0.05,1,-1))</f>
        <v>0</v>
      </c>
      <c r="AF175" s="18"/>
      <c r="AG175" s="35">
        <f>1-AD175</f>
        <v>0.53333333333333333</v>
      </c>
      <c r="AH175" s="7">
        <f>IF(AF175="",0,IF(ABS(VALUE(AF175)-AG175)&lt;=0.05,1,-1))</f>
        <v>0</v>
      </c>
      <c r="AI175" s="18"/>
      <c r="AJ175" s="76">
        <f>-10*LOG10(1-(0.3+K175/20))</f>
        <v>3.9794000867203758</v>
      </c>
      <c r="AK175" s="7">
        <f>IF(AI175="",0,IF(EXACT(RIGHT(AI175,2),"dB"),IF(ABS(ABS(VALUE(LEFT(AI175,FIND(" ",AI175,1))))-AJ175)&lt;=0.5,1,-1),-1))</f>
        <v>0</v>
      </c>
      <c r="AL175" s="18"/>
      <c r="AM175" s="35">
        <f>((0.16*(200+K175*10+L175)/(2+K175/10))-0.16*(200+K175*10+L175)/(6+L175/10))/10</f>
        <v>0.93617866004962769</v>
      </c>
      <c r="AN175" s="7">
        <f>IF(AL175="",0,IF(ABS(VALUE(AL175)-AM175)&lt;=0.05,1,-1))</f>
        <v>0</v>
      </c>
      <c r="AO175" s="18"/>
      <c r="AP175" s="35">
        <f>((0.16*(200+K175*10+L175)/(2+K175/10))-0.16*(200+K175*10+L175)/(6+L175/10))/(10+J175)</f>
        <v>0.58511166253101732</v>
      </c>
      <c r="AQ175" s="7">
        <f>IF(AO175="",0,IF(EXACT(RIGHT(AO175,2),"m2"),IF(ABS(VALUE(LEFT(AO175,FIND(" ",AO175,1)))-AP175)&lt;=0.05,1,-1),-1))</f>
        <v>0</v>
      </c>
      <c r="AR175" s="48">
        <f>M175+P175+S175+V175+Y175+AB175+AE175+AH175+AK175+AN175+AQ175</f>
        <v>1</v>
      </c>
    </row>
    <row r="176" spans="1:44" ht="12.75" x14ac:dyDescent="0.2">
      <c r="A176" s="32">
        <v>174</v>
      </c>
      <c r="B176" s="33">
        <v>41950.766076724532</v>
      </c>
      <c r="C176" s="34" t="s">
        <v>198</v>
      </c>
      <c r="D176" s="34" t="s">
        <v>199</v>
      </c>
      <c r="E176" s="17">
        <v>243378</v>
      </c>
      <c r="F176" s="6">
        <v>1</v>
      </c>
      <c r="G176" s="6">
        <f>INT(E176/100000)</f>
        <v>2</v>
      </c>
      <c r="H176" s="6">
        <f>INT(($E176-100000*G176)/10000)</f>
        <v>4</v>
      </c>
      <c r="I176" s="6">
        <f>INT(($E176-100000*G176-10000*H176)/1000)</f>
        <v>3</v>
      </c>
      <c r="J176" s="6">
        <f>INT(($E176-100000*$G176-10000*$H176-1000*$I176)/100)</f>
        <v>3</v>
      </c>
      <c r="K176" s="6">
        <f>INT(($E176-100000*$G176-10000*$H176-1000*$I176-100*$J176)/10)</f>
        <v>7</v>
      </c>
      <c r="L176" s="6">
        <f>INT(($E176-100000*$G176-10000*$H176-1000*$I176-100*$J176-10*$K176))</f>
        <v>8</v>
      </c>
      <c r="M176" s="7">
        <v>2</v>
      </c>
      <c r="N176" s="18"/>
      <c r="O176" s="76">
        <f>10*LOG10((10^((100+10*LOG10(1/(4*PI()*(3+J176/2)^2)))/10)+10^((100-3+10*LOG10(1/(4*PI()*(3+J176/2)^2)))/10))/10^((100+10*LOG10(4*(1+L176/10)/(0.16*(2000+K176*100))))/10))</f>
        <v>-4.5104877875265377</v>
      </c>
      <c r="P176" s="7">
        <f>IF(N176="",0,IF(EXACT(RIGHT(N176,2),"dB"),IF(ABS(VALUE(LEFT(N176,FIND(" ",N176,1)))-O176)&lt;=0.5,1,-1),-1))</f>
        <v>0</v>
      </c>
      <c r="Q176" s="18"/>
      <c r="R176" s="35">
        <f>(10^((100-3+10*LOG10(1/(4*PI()*(3+J176/2)^2)))/10)*COS((90-(30+L176*6))/180*PI()))/(10^((100+10*LOG10(1/(4*PI()*(3+J176/2)^2)))/10)+10^((100-3+10*LOG10(1/(4*PI()*(3+J176/2)^2)))/10))</f>
        <v>0.32656492082362676</v>
      </c>
      <c r="S176" s="7">
        <f>IF(Q176="",0,IF(ABS(VALUE(Q176)-R176)&lt;=0.05,1,-1))</f>
        <v>0</v>
      </c>
      <c r="T176" s="18"/>
      <c r="U176" s="76">
        <f>10*LOG10(10^((100+10*LOG10(1/(4*PI()*(3+J176/2)^2)))/10)+10^((100-3+10*LOG10(1/(4*PI()*(3+J176/2)^2)))/10)+10^((100+10*LOG10(4*(1+L176/10)/(0.16*(2000+K176*100))))/10))-100+31</f>
        <v>14.534538086328411</v>
      </c>
      <c r="V176" s="7">
        <f>IF(T176="",0,IF(EXACT(RIGHT(T176,2),"dB"),IF(ABS(VALUE(LEFT(T176,FIND(" ",T176,1)))-U176)&lt;=0.5,1,-1),-1))</f>
        <v>0</v>
      </c>
      <c r="W176" s="58">
        <v>1.7999999999999999E-2</v>
      </c>
      <c r="X176" s="35">
        <f>(0.5+L176/20)/(1+10^(-(5+K176)/10))</f>
        <v>0.84658415120750907</v>
      </c>
      <c r="Y176" s="7">
        <f>IF(W176="",0,IF(ABS(VALUE(W176)-X176)&lt;=0.05,1,-1))</f>
        <v>-1</v>
      </c>
      <c r="Z176" s="36" t="s">
        <v>201</v>
      </c>
      <c r="AA176" s="76">
        <f>10*LOG10(1+((100+K176*10+L176)*(0.5+J176/20))/((0.1+J176/100)*(6*(5+L176/2)^2)))</f>
        <v>4.5198216463719918</v>
      </c>
      <c r="AB176" s="7">
        <f>IF(Z176="",0,IF(EXACT(RIGHT(Z176,2),"dB"),IF(ABS(VALUE(LEFT(Z176,FIND(" ",Z176,1)))-AA176)&lt;=0.5,1,-1),-1))</f>
        <v>-1</v>
      </c>
      <c r="AC176" s="34">
        <v>0.66</v>
      </c>
      <c r="AD176" s="35">
        <f>0.3+L176/30+0.1</f>
        <v>0.66666666666666663</v>
      </c>
      <c r="AE176" s="7">
        <f>IF(AC176="",0,IF(ABS(VALUE(AC176)-AD176)&lt;=0.05,1,-1))</f>
        <v>1</v>
      </c>
      <c r="AF176" s="34">
        <v>0.34</v>
      </c>
      <c r="AG176" s="35">
        <f>1-AD176</f>
        <v>0.33333333333333337</v>
      </c>
      <c r="AH176" s="7">
        <f>IF(AF176="",0,IF(ABS(VALUE(AF176)-AG176)&lt;=0.05,1,-1))</f>
        <v>1</v>
      </c>
      <c r="AI176" s="36" t="s">
        <v>200</v>
      </c>
      <c r="AJ176" s="76">
        <f>-10*LOG10(1-(0.3+K176/20))</f>
        <v>4.5593195564972424</v>
      </c>
      <c r="AK176" s="7">
        <f>IF(AI176="",0,IF(EXACT(RIGHT(AI176,2),"dB"),IF(ABS(ABS(VALUE(LEFT(AI176,FIND(" ",AI176,1))))-AJ176)&lt;=0.5,1,-1),-1))</f>
        <v>-1</v>
      </c>
      <c r="AL176" s="18"/>
      <c r="AM176" s="35">
        <f>((0.16*(200+K176*10+L176)/(2+K176/10))-0.16*(200+K176*10+L176)/(6+L176/10))/10</f>
        <v>0.99328976034858374</v>
      </c>
      <c r="AN176" s="7">
        <f>IF(AL176="",0,IF(ABS(VALUE(AL176)-AM176)&lt;=0.05,1,-1))</f>
        <v>0</v>
      </c>
      <c r="AO176" s="18"/>
      <c r="AP176" s="35">
        <f>((0.16*(200+K176*10+L176)/(2+K176/10))-0.16*(200+K176*10+L176)/(6+L176/10))/(10+J176)</f>
        <v>0.76406904642198747</v>
      </c>
      <c r="AQ176" s="7">
        <f>IF(AO176="",0,IF(EXACT(RIGHT(AO176,2),"m2"),IF(ABS(VALUE(LEFT(AO176,FIND(" ",AO176,1)))-AP176)&lt;=0.05,1,-1),-1))</f>
        <v>0</v>
      </c>
      <c r="AR176" s="48">
        <f>M176+P176+S176+V176+Y176+AB176+AE176+AH176+AK176+AN176+AQ176</f>
        <v>1</v>
      </c>
    </row>
    <row r="177" spans="1:44" ht="12.75" x14ac:dyDescent="0.2">
      <c r="A177" s="32">
        <v>175</v>
      </c>
      <c r="B177" s="33">
        <v>41950.769190428247</v>
      </c>
      <c r="C177" s="34" t="s">
        <v>546</v>
      </c>
      <c r="D177" s="34" t="s">
        <v>547</v>
      </c>
      <c r="E177" s="17">
        <v>224108</v>
      </c>
      <c r="F177" s="6">
        <v>1</v>
      </c>
      <c r="G177" s="6">
        <f>INT(E177/100000)</f>
        <v>2</v>
      </c>
      <c r="H177" s="6">
        <f>INT(($E177-100000*G177)/10000)</f>
        <v>2</v>
      </c>
      <c r="I177" s="6">
        <f>INT(($E177-100000*G177-10000*H177)/1000)</f>
        <v>4</v>
      </c>
      <c r="J177" s="6">
        <f>INT(($E177-100000*$G177-10000*$H177-1000*$I177)/100)</f>
        <v>1</v>
      </c>
      <c r="K177" s="6">
        <f>INT(($E177-100000*$G177-10000*$H177-1000*$I177-100*$J177)/10)</f>
        <v>0</v>
      </c>
      <c r="L177" s="6">
        <f>INT(($E177-100000*$G177-10000*$H177-1000*$I177-100*$J177-10*$K177))</f>
        <v>8</v>
      </c>
      <c r="M177" s="7">
        <v>2</v>
      </c>
      <c r="N177" s="18"/>
      <c r="O177" s="76">
        <f>10*LOG10((10^((100+10*LOG10(1/(4*PI()*(3+J177/2)^2)))/10)+10^((100-3+10*LOG10(1/(4*PI()*(3+J177/2)^2)))/10))/10^((100+10*LOG10(4*(1+L177/10)/(0.16*(2000+K177*100))))/10))</f>
        <v>-3.6309360839752518</v>
      </c>
      <c r="P177" s="7">
        <f>IF(N177="",0,IF(EXACT(RIGHT(N177,2),"dB"),IF(ABS(VALUE(LEFT(N177,FIND(" ",N177,1)))-O177)&lt;=0.5,1,-1),-1))</f>
        <v>0</v>
      </c>
      <c r="Q177" s="18"/>
      <c r="R177" s="35">
        <f>(10^((100-3+10*LOG10(1/(4*PI()*(3+J177/2)^2)))/10)*COS((90-(30+L177*6))/180*PI()))/(10^((100+10*LOG10(1/(4*PI()*(3+J177/2)^2)))/10)+10^((100-3+10*LOG10(1/(4*PI()*(3+J177/2)^2)))/10))</f>
        <v>0.32656492082362676</v>
      </c>
      <c r="S177" s="7">
        <f>IF(Q177="",0,IF(ABS(VALUE(Q177)-R177)&lt;=0.05,1,-1))</f>
        <v>0</v>
      </c>
      <c r="T177" s="18"/>
      <c r="U177" s="76">
        <f>10*LOG10(10^((100+10*LOG10(1/(4*PI()*(3+J177/2)^2)))/10)+10^((100-3+10*LOG10(1/(4*PI()*(3+J177/2)^2)))/10)+10^((100+10*LOG10(4*(1+L177/10)/(0.16*(2000+K177*100))))/10))-100+31</f>
        <v>16.085552049339839</v>
      </c>
      <c r="V177" s="7">
        <f>IF(T177="",0,IF(EXACT(RIGHT(T177,2),"dB"),IF(ABS(VALUE(LEFT(T177,FIND(" ",T177,1)))-U177)&lt;=0.5,1,-1),-1))</f>
        <v>0</v>
      </c>
      <c r="W177" s="59" t="s">
        <v>548</v>
      </c>
      <c r="X177" s="35">
        <f>(0.5+L177/20)/(1+10^(-(5+K177)/10))</f>
        <v>0.683772233983162</v>
      </c>
      <c r="Y177" s="7">
        <v>-1</v>
      </c>
      <c r="Z177" s="34" t="s">
        <v>550</v>
      </c>
      <c r="AA177" s="76">
        <f>10*LOG10(1+((100+K177*10+L177)*(0.5+J177/20))/((0.1+J177/100)*(6*(5+L177/2)^2)))</f>
        <v>3.245110915135041</v>
      </c>
      <c r="AB177" s="7">
        <f>IF(Z177="",0,IF(EXACT(RIGHT(Z177,2),"dB"),IF(ABS(VALUE(LEFT(Z177,FIND(" ",Z177,1)))-AA177)&lt;=0.5,1,-1),-1))</f>
        <v>-1</v>
      </c>
      <c r="AC177" s="34">
        <v>0.66</v>
      </c>
      <c r="AD177" s="35">
        <f>0.3+L177/30+0.1</f>
        <v>0.66666666666666663</v>
      </c>
      <c r="AE177" s="7">
        <f>IF(AC177="",0,IF(ABS(VALUE(AC177)-AD177)&lt;=0.05,1,-1))</f>
        <v>1</v>
      </c>
      <c r="AF177" s="34">
        <v>0.34</v>
      </c>
      <c r="AG177" s="35">
        <f>1-AD177</f>
        <v>0.33333333333333337</v>
      </c>
      <c r="AH177" s="7">
        <f>IF(AF177="",0,IF(ABS(VALUE(AF177)-AG177)&lt;=0.05,1,-1))</f>
        <v>1</v>
      </c>
      <c r="AI177" s="36" t="s">
        <v>549</v>
      </c>
      <c r="AJ177" s="76">
        <f>-10*LOG10(1-(0.3+K177/20))</f>
        <v>1.5490195998574319</v>
      </c>
      <c r="AK177" s="7">
        <f>IF(AI177="",0,IF(EXACT(RIGHT(AI177,2),"dB"),IF(ABS(ABS(VALUE(LEFT(AI177,FIND(" ",AI177,1))))-AJ177)&lt;=0.5,1,-1),-1))</f>
        <v>1</v>
      </c>
      <c r="AL177" s="34">
        <v>0.67227000000000003</v>
      </c>
      <c r="AM177" s="35">
        <f>((0.16*(200+K177*10+L177)/(2+K177/10))-0.16*(200+K177*10+L177)/(6+L177/10))/10</f>
        <v>1.1745882352941177</v>
      </c>
      <c r="AN177" s="7">
        <f>IF(AL177="",0,IF(ABS(VALUE(AL177)-AM177)&lt;=0.05,1,-1))</f>
        <v>-1</v>
      </c>
      <c r="AO177" s="34" t="s">
        <v>1034</v>
      </c>
      <c r="AP177" s="35">
        <f>((0.16*(200+K177*10+L177)/(2+K177/10))-0.16*(200+K177*10+L177)/(6+L177/10))/(10+J177)</f>
        <v>1.0678074866310161</v>
      </c>
      <c r="AQ177" s="7">
        <f>IF(AO177="",0,IF(EXACT(RIGHT(AO177,2),"m2"),IF(ABS(VALUE(LEFT(AO177,FIND(" ",AO177,1)))-AP177)&lt;=0.05,1,-1),-1))</f>
        <v>-1</v>
      </c>
      <c r="AR177" s="48">
        <f>M177+P177+S177+V177+Y177+AB177+AE177+AH177+AK177+AN177+AQ177</f>
        <v>1</v>
      </c>
    </row>
    <row r="178" spans="1:44" ht="12.75" x14ac:dyDescent="0.2">
      <c r="A178" s="32">
        <v>176</v>
      </c>
      <c r="B178" s="33">
        <v>41950.770984513889</v>
      </c>
      <c r="C178" s="34" t="s">
        <v>705</v>
      </c>
      <c r="D178" s="39" t="s">
        <v>962</v>
      </c>
      <c r="E178" s="14">
        <v>232597</v>
      </c>
      <c r="F178" s="6">
        <v>1</v>
      </c>
      <c r="G178" s="6">
        <f>INT(E178/100000)</f>
        <v>2</v>
      </c>
      <c r="H178" s="6">
        <f>INT(($E178-100000*G178)/10000)</f>
        <v>3</v>
      </c>
      <c r="I178" s="6">
        <f>INT(($E178-100000*G178-10000*H178)/1000)</f>
        <v>2</v>
      </c>
      <c r="J178" s="6">
        <f>INT(($E178-100000*$G178-10000*$H178-1000*$I178)/100)</f>
        <v>5</v>
      </c>
      <c r="K178" s="6">
        <f>INT(($E178-100000*$G178-10000*$H178-1000*$I178-100*$J178)/10)</f>
        <v>9</v>
      </c>
      <c r="L178" s="6">
        <f>INT(($E178-100000*$G178-10000*$H178-1000*$I178-100*$J178-10*$K178))</f>
        <v>7</v>
      </c>
      <c r="M178" s="7">
        <v>2</v>
      </c>
      <c r="N178" s="18"/>
      <c r="O178" s="76">
        <f>10*LOG10((10^((100+10*LOG10(1/(4*PI()*(3+J178/2)^2)))/10)+10^((100-3+10*LOG10(1/(4*PI()*(3+J178/2)^2)))/10))/10^((100+10*LOG10(4*(1+L178/10)/(0.16*(2000+K178*100))))/10))</f>
        <v>-5.6949131272545337</v>
      </c>
      <c r="P178" s="7">
        <f>IF(N178="",0,IF(EXACT(RIGHT(N178,2),"dB"),IF(ABS(VALUE(LEFT(N178,FIND(" ",N178,1)))-O178)&lt;=0.5,1,-1),-1))</f>
        <v>0</v>
      </c>
      <c r="Q178" s="18"/>
      <c r="R178" s="35">
        <f>(10^((100-3+10*LOG10(1/(4*PI()*(3+J178/2)^2)))/10)*COS((90-(30+L178*6))/180*PI()))/(10^((100+10*LOG10(1/(4*PI()*(3+J178/2)^2)))/10)+10^((100-3+10*LOG10(1/(4*PI()*(3+J178/2)^2)))/10))</f>
        <v>0.31752027578427111</v>
      </c>
      <c r="S178" s="7">
        <f>IF(Q178="",0,IF(ABS(VALUE(Q178)-R178)&lt;=0.05,1,-1))</f>
        <v>0</v>
      </c>
      <c r="T178" s="18"/>
      <c r="U178" s="76">
        <f>10*LOG10(10^((100+10*LOG10(1/(4*PI()*(3+J178/2)^2)))/10)+10^((100-3+10*LOG10(1/(4*PI()*(3+J178/2)^2)))/10)+10^((100+10*LOG10(4*(1+L178/10)/(0.16*(2000+K178*100))))/10))-100+31</f>
        <v>13.696130059685174</v>
      </c>
      <c r="V178" s="7">
        <f>IF(T178="",0,IF(EXACT(RIGHT(T178,2),"dB"),IF(ABS(VALUE(LEFT(T178,FIND(" ",T178,1)))-U178)&lt;=0.5,1,-1),-1))</f>
        <v>0</v>
      </c>
      <c r="W178" s="58">
        <v>0.8175</v>
      </c>
      <c r="X178" s="35">
        <f>(0.5+L178/20)/(1+10^(-(5+K178)/10))</f>
        <v>0.81745647170008351</v>
      </c>
      <c r="Y178" s="7">
        <f>IF(W178="",0,IF(ABS(VALUE(W178)-X178)&lt;=0.05,1,-1))</f>
        <v>1</v>
      </c>
      <c r="Z178" s="34" t="s">
        <v>707</v>
      </c>
      <c r="AA178" s="76">
        <f>10*LOG10(1+((100+K178*10+L178)*(0.5+J178/20))/((0.1+J178/100)*(6*(5+L178/2)^2)))</f>
        <v>5.1484023831964194</v>
      </c>
      <c r="AB178" s="7">
        <f>IF(Z178="",0,IF(EXACT(RIGHT(Z178,2),"dB"),IF(ABS(VALUE(LEFT(Z178,FIND(" ",Z178,1)))-AA178)&lt;=0.5,1,-1),-1))</f>
        <v>-1</v>
      </c>
      <c r="AC178" s="34">
        <v>0.63329999999999997</v>
      </c>
      <c r="AD178" s="35">
        <f>0.3+L178/30+0.1</f>
        <v>0.6333333333333333</v>
      </c>
      <c r="AE178" s="7">
        <f>IF(AC178="",0,IF(ABS(VALUE(AC178)-AD178)&lt;=0.05,1,-1))</f>
        <v>1</v>
      </c>
      <c r="AF178" s="34">
        <v>0.36670000000000003</v>
      </c>
      <c r="AG178" s="35">
        <f>1-AD178</f>
        <v>0.3666666666666667</v>
      </c>
      <c r="AH178" s="7">
        <f>IF(AF178="",0,IF(ABS(VALUE(AF178)-AG178)&lt;=0.05,1,-1))</f>
        <v>1</v>
      </c>
      <c r="AI178" s="34" t="s">
        <v>706</v>
      </c>
      <c r="AJ178" s="76">
        <f>-10*LOG10(1-(0.3+K178/20))</f>
        <v>6.0205999132796242</v>
      </c>
      <c r="AK178" s="7">
        <f>IF(AI178="",0,IF(EXACT(RIGHT(AI178,2),"dB"),IF(ABS(ABS(VALUE(LEFT(AI178,FIND(" ",AI178,1))))-AJ178)&lt;=0.5,1,-1),-1))</f>
        <v>-1</v>
      </c>
      <c r="AL178" s="34">
        <v>0.82299999999999995</v>
      </c>
      <c r="AM178" s="35">
        <f>((0.16*(200+K178*10+L178)/(2+K178/10))-0.16*(200+K178*10+L178)/(6+L178/10))/10</f>
        <v>0.92936695831188909</v>
      </c>
      <c r="AN178" s="7">
        <f>IF(AL178="",0,IF(ABS(VALUE(AL178)-AM178)&lt;=0.05,1,-1))</f>
        <v>-1</v>
      </c>
      <c r="AO178" s="34" t="s">
        <v>708</v>
      </c>
      <c r="AP178" s="35">
        <f>((0.16*(200+K178*10+L178)/(2+K178/10))-0.16*(200+K178*10+L178)/(6+L178/10))/(10+J178)</f>
        <v>0.6195779722079261</v>
      </c>
      <c r="AQ178" s="7">
        <f>IF(AO178="",0,IF(EXACT(RIGHT(AO178,2),"m2"),IF(ABS(VALUE(LEFT(AO178,FIND(" ",AO178,1)))-AP178)&lt;=0.05,1,-1),-1))</f>
        <v>-1</v>
      </c>
      <c r="AR178" s="48">
        <f>M178+P178+S178+V178+Y178+AB178+AE178+AH178+AK178+AN178+AQ178</f>
        <v>1</v>
      </c>
    </row>
    <row r="179" spans="1:44" ht="12.75" x14ac:dyDescent="0.2">
      <c r="A179" s="32">
        <v>177</v>
      </c>
      <c r="B179" s="33">
        <v>41951.730162106476</v>
      </c>
      <c r="C179" s="18"/>
      <c r="D179" s="51" t="s">
        <v>935</v>
      </c>
      <c r="E179" s="52">
        <v>257959</v>
      </c>
      <c r="F179" s="6">
        <v>1</v>
      </c>
      <c r="G179" s="6">
        <f>INT(E179/100000)</f>
        <v>2</v>
      </c>
      <c r="H179" s="6">
        <f>INT(($E179-100000*G179)/10000)</f>
        <v>5</v>
      </c>
      <c r="I179" s="6">
        <f>INT(($E179-100000*G179-10000*H179)/1000)</f>
        <v>7</v>
      </c>
      <c r="J179" s="6">
        <f>INT(($E179-100000*$G179-10000*$H179-1000*$I179)/100)</f>
        <v>9</v>
      </c>
      <c r="K179" s="6">
        <f>INT(($E179-100000*$G179-10000*$H179-1000*$I179-100*$J179)/10)</f>
        <v>5</v>
      </c>
      <c r="L179" s="6">
        <f>INT(($E179-100000*$G179-10000*$H179-1000*$I179-100*$J179-10*$K179))</f>
        <v>9</v>
      </c>
      <c r="M179" s="7">
        <v>0</v>
      </c>
      <c r="N179" s="18"/>
      <c r="O179" s="76">
        <f>10*LOG10((10^((100+10*LOG10(1/(4*PI()*(3+J179/2)^2)))/10)+10^((100-3+10*LOG10(1/(4*PI()*(3+J179/2)^2)))/10))/10^((100+10*LOG10(4*(1+L179/10)/(0.16*(2000+K179*100))))/10))</f>
        <v>-9.5165112932183966</v>
      </c>
      <c r="P179" s="7">
        <f>IF(N179="",0,IF(EXACT(RIGHT(N179,2),"dB"),IF(ABS(VALUE(LEFT(N179,FIND(" ",N179,1)))-O179)&lt;=0.5,1,-1),-1))</f>
        <v>0</v>
      </c>
      <c r="Q179" s="18"/>
      <c r="R179" s="35">
        <f>(10^((100-3+10*LOG10(1/(4*PI()*(3+J179/2)^2)))/10)*COS((90-(30+L179*6))/180*PI()))/(10^((100+10*LOG10(1/(4*PI()*(3+J179/2)^2)))/10)+10^((100-3+10*LOG10(1/(4*PI()*(3+J179/2)^2)))/10))</f>
        <v>0.332031652252336</v>
      </c>
      <c r="S179" s="7">
        <f>IF(Q179="",0,IF(ABS(VALUE(Q179)-R179)&lt;=0.05,1,-1))</f>
        <v>0</v>
      </c>
      <c r="T179" s="18"/>
      <c r="U179" s="76">
        <f>10*LOG10(10^((100+10*LOG10(1/(4*PI()*(3+J179/2)^2)))/10)+10^((100-3+10*LOG10(1/(4*PI()*(3+J179/2)^2)))/10)+10^((100+10*LOG10(4*(1+L179/10)/(0.16*(2000+K179*100))))/10))-100+31</f>
        <v>14.247709264430014</v>
      </c>
      <c r="V179" s="7">
        <f>IF(T179="",0,IF(EXACT(RIGHT(T179,2),"dB"),IF(ABS(VALUE(LEFT(T179,FIND(" ",T179,1)))-U179)&lt;=0.5,1,-1),-1))</f>
        <v>0</v>
      </c>
      <c r="W179" s="58">
        <v>0.90459999999999996</v>
      </c>
      <c r="X179" s="35">
        <f>(0.5+L179/20)/(1+10^(-(5+K179)/10))</f>
        <v>0.86363636363636354</v>
      </c>
      <c r="Y179" s="7">
        <f>IF(W179="",0,IF(ABS(VALUE(W179)-X179)&lt;=0.05,1,-1))</f>
        <v>1</v>
      </c>
      <c r="Z179" s="36" t="s">
        <v>936</v>
      </c>
      <c r="AA179" s="76">
        <f>10*LOG10(1+((100+K179*10+L179)*(0.5+J179/20))/((0.1+J179/100)*(6*(5+L179/2)^2)))</f>
        <v>3.923705021312168</v>
      </c>
      <c r="AB179" s="7">
        <f>IF(Z179="",0,IF(EXACT(RIGHT(Z179,2),"dB"),IF(ABS(VALUE(LEFT(Z179,FIND(" ",Z179,1)))-AA179)&lt;=0.5,1,-1),-1))</f>
        <v>-1</v>
      </c>
      <c r="AC179" s="34">
        <v>0.7</v>
      </c>
      <c r="AD179" s="35">
        <f>0.3+L179/30+0.1</f>
        <v>0.7</v>
      </c>
      <c r="AE179" s="7">
        <f>IF(AC179="",0,IF(ABS(VALUE(AC179)-AD179)&lt;=0.05,1,-1))</f>
        <v>1</v>
      </c>
      <c r="AF179" s="34">
        <v>0.3</v>
      </c>
      <c r="AG179" s="35">
        <f>1-AD179</f>
        <v>0.30000000000000004</v>
      </c>
      <c r="AH179" s="7">
        <f>IF(AF179="",0,IF(ABS(VALUE(AF179)-AG179)&lt;=0.05,1,-1))</f>
        <v>1</v>
      </c>
      <c r="AI179" s="73" t="s">
        <v>937</v>
      </c>
      <c r="AJ179" s="76">
        <f>-10*LOG10(1-(0.3+K179/20))</f>
        <v>3.467874862246564</v>
      </c>
      <c r="AK179" s="7">
        <f>IF(AI179="",0,IF(EXACT(RIGHT(AI179,2),"dB"),IF(ABS(ABS(VALUE(LEFT(AI179,FIND(" ",AI179,1))))-AJ179)&lt;=0.5,1,-1),-1))</f>
        <v>-1</v>
      </c>
      <c r="AL179" s="36" t="s">
        <v>938</v>
      </c>
      <c r="AM179" s="35">
        <f>((0.16*(200+K179*10+L179)/(2+K179/10))-0.16*(200+K179*10+L179)/(6+L179/10))/10</f>
        <v>1.0570202898550725</v>
      </c>
      <c r="AN179" s="7">
        <v>-1</v>
      </c>
      <c r="AO179" s="34" t="s">
        <v>939</v>
      </c>
      <c r="AP179" s="35">
        <f>((0.16*(200+K179*10+L179)/(2+K179/10))-0.16*(200+K179*10+L179)/(6+L179/10))/(10+J179)</f>
        <v>0.55632646834477506</v>
      </c>
      <c r="AQ179" s="7">
        <f>IF(AO179="",0,IF(EXACT(RIGHT(AO179,2),"m2"),IF(ABS(VALUE(LEFT(AO179,FIND(" ",AO179,1)))-AP179)&lt;=0.05,1,-1),-1))</f>
        <v>1</v>
      </c>
      <c r="AR179" s="48">
        <f>M179+P179+S179+V179+Y179+AB179+AE179+AH179+AK179+AN179+AQ179</f>
        <v>1</v>
      </c>
    </row>
    <row r="180" spans="1:44" ht="12.75" x14ac:dyDescent="0.2">
      <c r="A180" s="32">
        <v>178</v>
      </c>
      <c r="B180" s="33">
        <v>41951.727075428244</v>
      </c>
      <c r="C180" s="18"/>
      <c r="D180" s="51" t="s">
        <v>924</v>
      </c>
      <c r="E180" s="52">
        <v>260205</v>
      </c>
      <c r="F180" s="6">
        <v>1</v>
      </c>
      <c r="G180" s="6">
        <f>INT(E180/100000)</f>
        <v>2</v>
      </c>
      <c r="H180" s="6">
        <f>INT(($E180-100000*G180)/10000)</f>
        <v>6</v>
      </c>
      <c r="I180" s="6">
        <f>INT(($E180-100000*G180-10000*H180)/1000)</f>
        <v>0</v>
      </c>
      <c r="J180" s="6">
        <f>INT(($E180-100000*$G180-10000*$H180-1000*$I180)/100)</f>
        <v>2</v>
      </c>
      <c r="K180" s="6">
        <f>INT(($E180-100000*$G180-10000*$H180-1000*$I180-100*$J180)/10)</f>
        <v>0</v>
      </c>
      <c r="L180" s="6">
        <f>INT(($E180-100000*$G180-10000*$H180-1000*$I180-100*$J180-10*$K180))</f>
        <v>5</v>
      </c>
      <c r="M180" s="7">
        <v>0</v>
      </c>
      <c r="N180" s="18"/>
      <c r="O180" s="76">
        <f>10*LOG10((10^((100+10*LOG10(1/(4*PI()*(3+J180/2)^2)))/10)+10^((100-3+10*LOG10(1/(4*PI()*(3+J180/2)^2)))/10))/10^((100+10*LOG10(4*(1+L180/10)/(0.16*(2000+K180*100))))/10))</f>
        <v>-3.9989625630527237</v>
      </c>
      <c r="P180" s="7">
        <f>IF(N180="",0,IF(EXACT(RIGHT(N180,2),"dB"),IF(ABS(VALUE(LEFT(N180,FIND(" ",N180,1)))-O180)&lt;=0.5,1,-1),-1))</f>
        <v>0</v>
      </c>
      <c r="Q180" s="18"/>
      <c r="R180" s="35">
        <f>(10^((100-3+10*LOG10(1/(4*PI()*(3+J180/2)^2)))/10)*COS((90-(30+L180*6))/180*PI()))/(10^((100+10*LOG10(1/(4*PI()*(3+J180/2)^2)))/10)+10^((100-3+10*LOG10(1/(4*PI()*(3+J180/2)^2)))/10))</f>
        <v>0.28913173963310662</v>
      </c>
      <c r="S180" s="7">
        <f>IF(Q180="",0,IF(ABS(VALUE(Q180)-R180)&lt;=0.05,1,-1))</f>
        <v>0</v>
      </c>
      <c r="T180" s="18"/>
      <c r="U180" s="76">
        <f>10*LOG10(10^((100+10*LOG10(1/(4*PI()*(3+J180/2)^2)))/10)+10^((100-3+10*LOG10(1/(4*PI()*(3+J180/2)^2)))/10)+10^((100+10*LOG10(4*(1+L180/10)/(0.16*(2000+K180*100))))/10))-100+31</f>
        <v>15.18571278428432</v>
      </c>
      <c r="V180" s="7">
        <f>IF(T180="",0,IF(EXACT(RIGHT(T180,2),"dB"),IF(ABS(VALUE(LEFT(T180,FIND(" ",T180,1)))-U180)&lt;=0.5,1,-1),-1))</f>
        <v>0</v>
      </c>
      <c r="W180" s="58">
        <v>0.71419999999999995</v>
      </c>
      <c r="X180" s="35">
        <f>(0.5+L180/20)/(1+10^(-(5+K180)/10))</f>
        <v>0.56981019498596841</v>
      </c>
      <c r="Y180" s="7">
        <f>IF(W180="",0,IF(ABS(VALUE(W180)-X180)&lt;=0.05,1,-1))</f>
        <v>-1</v>
      </c>
      <c r="Z180" s="36" t="s">
        <v>925</v>
      </c>
      <c r="AA180" s="76">
        <f>10*LOG10(1+((100+K180*10+L180)*(0.5+J180/20))/((0.1+J180/100)*(6*(5+L180/2)^2)))</f>
        <v>4.0748532657826795</v>
      </c>
      <c r="AB180" s="7">
        <f>IF(Z180="",0,IF(EXACT(RIGHT(Z180,2),"dB"),IF(ABS(VALUE(LEFT(Z180,FIND(" ",Z180,1)))-AA180)&lt;=0.5,1,-1),-1))</f>
        <v>-1</v>
      </c>
      <c r="AC180" s="34">
        <v>0.56000000000000005</v>
      </c>
      <c r="AD180" s="35">
        <f>0.3+L180/30+0.1</f>
        <v>0.56666666666666665</v>
      </c>
      <c r="AE180" s="7">
        <f>IF(AC180="",0,IF(ABS(VALUE(AC180)-AD180)&lt;=0.05,1,-1))</f>
        <v>1</v>
      </c>
      <c r="AF180" s="34">
        <v>0.44</v>
      </c>
      <c r="AG180" s="35">
        <f>1-AD180</f>
        <v>0.43333333333333335</v>
      </c>
      <c r="AH180" s="7">
        <f>IF(AF180="",0,IF(ABS(VALUE(AF180)-AG180)&lt;=0.05,1,-1))</f>
        <v>1</v>
      </c>
      <c r="AI180" s="73" t="s">
        <v>538</v>
      </c>
      <c r="AJ180" s="76">
        <f>-10*LOG10(1-(0.3+K180/20))</f>
        <v>1.5490195998574319</v>
      </c>
      <c r="AK180" s="7">
        <f>IF(AI180="",0,IF(EXACT(RIGHT(AI180,2),"dB"),IF(ABS(ABS(VALUE(LEFT(AI180,FIND(" ",AI180,1))))-AJ180)&lt;=0.5,1,-1),-1))</f>
        <v>1</v>
      </c>
      <c r="AL180" s="34">
        <v>1.1076999999999999</v>
      </c>
      <c r="AM180" s="35">
        <f>((0.16*(200+K180*10+L180)/(2+K180/10))-0.16*(200+K180*10+L180)/(6+L180/10))/10</f>
        <v>1.1353846153846152</v>
      </c>
      <c r="AN180" s="7">
        <f>IF(AL180="",0,IF(ABS(VALUE(AL180)-AM180)&lt;=0.05,1,-1))</f>
        <v>1</v>
      </c>
      <c r="AO180" s="36">
        <v>0.92300000000000004</v>
      </c>
      <c r="AP180" s="35">
        <f>((0.16*(200+K180*10+L180)/(2+K180/10))-0.16*(200+K180*10+L180)/(6+L180/10))/(10+J180)</f>
        <v>0.94615384615384601</v>
      </c>
      <c r="AQ180" s="7">
        <f>IF(AO180="",0,IF(EXACT(RIGHT(AO180,2),"m2"),IF(ABS(VALUE(LEFT(AO180,FIND(" ",AO180,1)))-AP180)&lt;=0.05,1,-1),-1))</f>
        <v>-1</v>
      </c>
      <c r="AR180" s="48">
        <f>M180+P180+S180+V180+Y180+AB180+AE180+AH180+AK180+AN180+AQ180</f>
        <v>1</v>
      </c>
    </row>
    <row r="181" spans="1:44" ht="12.75" x14ac:dyDescent="0.2">
      <c r="A181" s="32">
        <v>179</v>
      </c>
      <c r="B181" s="33">
        <v>41951.728342638889</v>
      </c>
      <c r="C181" s="18"/>
      <c r="D181" s="51" t="s">
        <v>926</v>
      </c>
      <c r="E181" s="52">
        <v>260207</v>
      </c>
      <c r="F181" s="6">
        <v>1</v>
      </c>
      <c r="G181" s="6">
        <f>INT(E181/100000)</f>
        <v>2</v>
      </c>
      <c r="H181" s="6">
        <f>INT(($E181-100000*G181)/10000)</f>
        <v>6</v>
      </c>
      <c r="I181" s="6">
        <f>INT(($E181-100000*G181-10000*H181)/1000)</f>
        <v>0</v>
      </c>
      <c r="J181" s="6">
        <f>INT(($E181-100000*$G181-10000*$H181-1000*$I181)/100)</f>
        <v>2</v>
      </c>
      <c r="K181" s="6">
        <f>INT(($E181-100000*$G181-10000*$H181-1000*$I181-100*$J181)/10)</f>
        <v>0</v>
      </c>
      <c r="L181" s="6">
        <f>INT(($E181-100000*$G181-10000*$H181-1000*$I181-100*$J181-10*$K181))</f>
        <v>7</v>
      </c>
      <c r="M181" s="7">
        <v>0</v>
      </c>
      <c r="N181" s="18"/>
      <c r="O181" s="76">
        <f>10*LOG10((10^((100+10*LOG10(1/(4*PI()*(3+J181/2)^2)))/10)+10^((100-3+10*LOG10(1/(4*PI()*(3+J181/2)^2)))/10))/10^((100+10*LOG10(4*(1+L181/10)/(0.16*(2000+K181*100))))/10))</f>
        <v>-4.5425391862786606</v>
      </c>
      <c r="P181" s="7">
        <f>IF(N181="",0,IF(EXACT(RIGHT(N181,2),"dB"),IF(ABS(VALUE(LEFT(N181,FIND(" ",N181,1)))-O181)&lt;=0.5,1,-1),-1))</f>
        <v>0</v>
      </c>
      <c r="Q181" s="18"/>
      <c r="R181" s="35">
        <f>(10^((100-3+10*LOG10(1/(4*PI()*(3+J181/2)^2)))/10)*COS((90-(30+L181*6))/180*PI()))/(10^((100+10*LOG10(1/(4*PI()*(3+J181/2)^2)))/10)+10^((100-3+10*LOG10(1/(4*PI()*(3+J181/2)^2)))/10))</f>
        <v>0.31752027578427117</v>
      </c>
      <c r="S181" s="7">
        <f>IF(Q181="",0,IF(ABS(VALUE(Q181)-R181)&lt;=0.05,1,-1))</f>
        <v>0</v>
      </c>
      <c r="T181" s="18"/>
      <c r="U181" s="76">
        <f>10*LOG10(10^((100+10*LOG10(1/(4*PI()*(3+J181/2)^2)))/10)+10^((100-3+10*LOG10(1/(4*PI()*(3+J181/2)^2)))/10)+10^((100+10*LOG10(4*(1+L181/10)/(0.16*(2000+K181*100))))/10))-100+31</f>
        <v>15.581283724741439</v>
      </c>
      <c r="V181" s="7">
        <f>IF(T181="",0,IF(EXACT(RIGHT(T181,2),"dB"),IF(ABS(VALUE(LEFT(T181,FIND(" ",T181,1)))-U181)&lt;=0.5,1,-1),-1))</f>
        <v>0</v>
      </c>
      <c r="W181" s="58">
        <v>0.80940000000000001</v>
      </c>
      <c r="X181" s="35">
        <f>(0.5+L181/20)/(1+10^(-(5+K181)/10))</f>
        <v>0.64578488765076414</v>
      </c>
      <c r="Y181" s="7">
        <f>IF(W181="",0,IF(ABS(VALUE(W181)-X181)&lt;=0.05,1,-1))</f>
        <v>-1</v>
      </c>
      <c r="Z181" s="36" t="s">
        <v>927</v>
      </c>
      <c r="AA181" s="76">
        <f>10*LOG10(1+((100+K181*10+L181)*(0.5+J181/20))/((0.1+J181/100)*(6*(5+L181/2)^2)))</f>
        <v>3.4911052324290055</v>
      </c>
      <c r="AB181" s="7">
        <f>IF(Z181="",0,IF(EXACT(RIGHT(Z181,2),"dB"),IF(ABS(VALUE(LEFT(Z181,FIND(" ",Z181,1)))-AA181)&lt;=0.5,1,-1),-1))</f>
        <v>-1</v>
      </c>
      <c r="AC181" s="34">
        <v>0.63300000000000001</v>
      </c>
      <c r="AD181" s="35">
        <f>0.3+L181/30+0.1</f>
        <v>0.6333333333333333</v>
      </c>
      <c r="AE181" s="7">
        <f>IF(AC181="",0,IF(ABS(VALUE(AC181)-AD181)&lt;=0.05,1,-1))</f>
        <v>1</v>
      </c>
      <c r="AF181" s="34">
        <v>0.36699999999999999</v>
      </c>
      <c r="AG181" s="35">
        <f>1-AD181</f>
        <v>0.3666666666666667</v>
      </c>
      <c r="AH181" s="7">
        <f>IF(AF181="",0,IF(ABS(VALUE(AF181)-AG181)&lt;=0.05,1,-1))</f>
        <v>1</v>
      </c>
      <c r="AI181" s="73" t="s">
        <v>538</v>
      </c>
      <c r="AJ181" s="76">
        <f>-10*LOG10(1-(0.3+K181/20))</f>
        <v>1.5490195998574319</v>
      </c>
      <c r="AK181" s="7">
        <f>IF(AI181="",0,IF(EXACT(RIGHT(AI181,2),"dB"),IF(ABS(ABS(VALUE(LEFT(AI181,FIND(" ",AI181,1))))-AJ181)&lt;=0.5,1,-1),-1))</f>
        <v>1</v>
      </c>
      <c r="AL181" s="36" t="s">
        <v>928</v>
      </c>
      <c r="AM181" s="35">
        <f>((0.16*(200+K181*10+L181)/(2+K181/10))-0.16*(200+K181*10+L181)/(6+L181/10))/10</f>
        <v>1.1616716417910447</v>
      </c>
      <c r="AN181" s="7">
        <v>-1</v>
      </c>
      <c r="AO181" s="34" t="s">
        <v>929</v>
      </c>
      <c r="AP181" s="35">
        <f>((0.16*(200+K181*10+L181)/(2+K181/10))-0.16*(200+K181*10+L181)/(6+L181/10))/(10+J181)</f>
        <v>0.96805970149253717</v>
      </c>
      <c r="AQ181" s="7">
        <f>IF(AO181="",0,IF(EXACT(RIGHT(AO181,2),"m2"),IF(ABS(VALUE(LEFT(AO181,FIND(" ",AO181,1)))-AP181)&lt;=0.05,1,-1),-1))</f>
        <v>1</v>
      </c>
      <c r="AR181" s="48">
        <f>M181+P181+S181+V181+Y181+AB181+AE181+AH181+AK181+AN181+AQ181</f>
        <v>1</v>
      </c>
    </row>
    <row r="182" spans="1:44" ht="12.75" x14ac:dyDescent="0.2">
      <c r="A182" s="32">
        <v>180</v>
      </c>
      <c r="B182" s="33">
        <v>41950.75458212963</v>
      </c>
      <c r="C182" s="34" t="s">
        <v>23</v>
      </c>
      <c r="D182" s="34" t="s">
        <v>24</v>
      </c>
      <c r="E182" s="17">
        <v>239308</v>
      </c>
      <c r="F182" s="6">
        <v>1</v>
      </c>
      <c r="G182" s="6">
        <f>INT(E182/100000)</f>
        <v>2</v>
      </c>
      <c r="H182" s="6">
        <f>INT(($E182-100000*G182)/10000)</f>
        <v>3</v>
      </c>
      <c r="I182" s="6">
        <f>INT(($E182-100000*G182-10000*H182)/1000)</f>
        <v>9</v>
      </c>
      <c r="J182" s="6">
        <f>INT(($E182-100000*$G182-10000*$H182-1000*$I182)/100)</f>
        <v>3</v>
      </c>
      <c r="K182" s="6">
        <f>INT(($E182-100000*$G182-10000*$H182-1000*$I182-100*$J182)/10)</f>
        <v>0</v>
      </c>
      <c r="L182" s="6">
        <f>INT(($E182-100000*$G182-10000*$H182-1000*$I182-100*$J182-10*$K182))</f>
        <v>8</v>
      </c>
      <c r="M182" s="7">
        <v>2</v>
      </c>
      <c r="N182" s="18"/>
      <c r="O182" s="76">
        <f>10*LOG10((10^((100+10*LOG10(1/(4*PI()*(3+J182/2)^2)))/10)+10^((100-3+10*LOG10(1/(4*PI()*(3+J182/2)^2)))/10))/10^((100+10*LOG10(4*(1+L182/10)/(0.16*(2000+K182*100))))/10))</f>
        <v>-5.8138254724766174</v>
      </c>
      <c r="P182" s="7">
        <f>IF(N182="",0,IF(EXACT(RIGHT(N182,2),"dB"),IF(ABS(VALUE(LEFT(N182,FIND(" ",N182,1)))-O182)&lt;=0.5,1,-1),-1))</f>
        <v>0</v>
      </c>
      <c r="Q182" s="18"/>
      <c r="R182" s="35">
        <f>(10^((100-3+10*LOG10(1/(4*PI()*(3+J182/2)^2)))/10)*COS((90-(30+L182*6))/180*PI()))/(10^((100+10*LOG10(1/(4*PI()*(3+J182/2)^2)))/10)+10^((100-3+10*LOG10(1/(4*PI()*(3+J182/2)^2)))/10))</f>
        <v>0.32656492082362676</v>
      </c>
      <c r="S182" s="7">
        <f>IF(Q182="",0,IF(ABS(VALUE(Q182)-R182)&lt;=0.05,1,-1))</f>
        <v>0</v>
      </c>
      <c r="T182" s="18"/>
      <c r="U182" s="76">
        <f>10*LOG10(10^((100+10*LOG10(1/(4*PI()*(3+J182/2)^2)))/10)+10^((100-3+10*LOG10(1/(4*PI()*(3+J182/2)^2)))/10)+10^((100+10*LOG10(4*(1+L182/10)/(0.16*(2000+K182*100))))/10))-100+31</f>
        <v>15.533075292717285</v>
      </c>
      <c r="V182" s="7">
        <f>IF(T182="",0,IF(EXACT(RIGHT(T182,2),"dB"),IF(ABS(VALUE(LEFT(T182,FIND(" ",T182,1)))-U182)&lt;=0.5,1,-1),-1))</f>
        <v>0</v>
      </c>
      <c r="W182" s="58">
        <v>0.74099999999999999</v>
      </c>
      <c r="X182" s="35">
        <f>(0.5+L182/20)/(1+10^(-(5+K182)/10))</f>
        <v>0.683772233983162</v>
      </c>
      <c r="Y182" s="7">
        <f>IF(W182="",0,IF(ABS(VALUE(W182)-X182)&lt;=0.05,1,-1))</f>
        <v>-1</v>
      </c>
      <c r="Z182" s="18"/>
      <c r="AA182" s="76">
        <f>10*LOG10(1+((100+K182*10+L182)*(0.5+J182/20))/((0.1+J182/100)*(6*(5+L182/2)^2)))</f>
        <v>3.245110915135041</v>
      </c>
      <c r="AB182" s="7">
        <f>IF(Z182="",0,IF(EXACT(RIGHT(Z182,2),"dB"),IF(ABS(VALUE(LEFT(Z182,FIND(" ",Z182,1)))-AA182)&lt;=0.5,1,-1),-1))</f>
        <v>0</v>
      </c>
      <c r="AC182" s="34">
        <v>0.6</v>
      </c>
      <c r="AD182" s="35">
        <f>0.3+L182/30+0.1</f>
        <v>0.66666666666666663</v>
      </c>
      <c r="AE182" s="7">
        <f>IF(AC182="",0,IF(ABS(VALUE(AC182)-AD182)&lt;=0.05,1,-1))</f>
        <v>-1</v>
      </c>
      <c r="AF182" s="34">
        <v>0.3</v>
      </c>
      <c r="AG182" s="35">
        <f>1-AD182</f>
        <v>0.33333333333333337</v>
      </c>
      <c r="AH182" s="7">
        <f>IF(AF182="",0,IF(ABS(VALUE(AF182)-AG182)&lt;=0.05,1,-1))</f>
        <v>1</v>
      </c>
      <c r="AI182" s="34" t="s">
        <v>25</v>
      </c>
      <c r="AJ182" s="76">
        <f>-10*LOG10(1-(0.3+K182/20))</f>
        <v>1.5490195998574319</v>
      </c>
      <c r="AK182" s="7">
        <f>IF(AI182="",0,IF(EXACT(RIGHT(AI182,2),"dB"),IF(ABS(ABS(VALUE(LEFT(AI182,FIND(" ",AI182,1))))-AJ182)&lt;=0.5,1,-1),-1))</f>
        <v>-1</v>
      </c>
      <c r="AL182" s="18"/>
      <c r="AM182" s="35">
        <f>((0.16*(200+K182*10+L182)/(2+K182/10))-0.16*(200+K182*10+L182)/(6+L182/10))/10</f>
        <v>1.1745882352941177</v>
      </c>
      <c r="AN182" s="7">
        <f>IF(AL182="",0,IF(ABS(VALUE(AL182)-AM182)&lt;=0.05,1,-1))</f>
        <v>0</v>
      </c>
      <c r="AO182" s="18"/>
      <c r="AP182" s="35">
        <f>((0.16*(200+K182*10+L182)/(2+K182/10))-0.16*(200+K182*10+L182)/(6+L182/10))/(10+J182)</f>
        <v>0.90352941176470591</v>
      </c>
      <c r="AQ182" s="7">
        <f>IF(AO182="",0,IF(EXACT(RIGHT(AO182,2),"m2"),IF(ABS(VALUE(LEFT(AO182,FIND(" ",AO182,1)))-AP182)&lt;=0.05,1,-1),-1))</f>
        <v>0</v>
      </c>
      <c r="AR182" s="48">
        <f>M182+P182+S182+V182+Y182+AB182+AE182+AH182+AK182+AN182+AQ182</f>
        <v>0</v>
      </c>
    </row>
    <row r="183" spans="1:44" ht="12.75" x14ac:dyDescent="0.2">
      <c r="A183" s="32">
        <v>181</v>
      </c>
      <c r="B183" s="33">
        <v>41950.764997766208</v>
      </c>
      <c r="C183" s="34" t="s">
        <v>144</v>
      </c>
      <c r="D183" s="34" t="s">
        <v>145</v>
      </c>
      <c r="E183" s="17">
        <v>239485</v>
      </c>
      <c r="F183" s="6">
        <v>1</v>
      </c>
      <c r="G183" s="6">
        <f>INT(E183/100000)</f>
        <v>2</v>
      </c>
      <c r="H183" s="6">
        <f>INT(($E183-100000*G183)/10000)</f>
        <v>3</v>
      </c>
      <c r="I183" s="6">
        <f>INT(($E183-100000*G183-10000*H183)/1000)</f>
        <v>9</v>
      </c>
      <c r="J183" s="6">
        <f>INT(($E183-100000*$G183-10000*$H183-1000*$I183)/100)</f>
        <v>4</v>
      </c>
      <c r="K183" s="6">
        <f>INT(($E183-100000*$G183-10000*$H183-1000*$I183-100*$J183)/10)</f>
        <v>8</v>
      </c>
      <c r="L183" s="6">
        <f>INT(($E183-100000*$G183-10000*$H183-1000*$I183-100*$J183-10*$K183))</f>
        <v>5</v>
      </c>
      <c r="M183" s="7">
        <v>2</v>
      </c>
      <c r="N183" s="18"/>
      <c r="O183" s="76">
        <f>10*LOG10((10^((100+10*LOG10(1/(4*PI()*(3+J183/2)^2)))/10)+10^((100-3+10*LOG10(1/(4*PI()*(3+J183/2)^2)))/10))/10^((100+10*LOG10(4*(1+L183/10)/(0.16*(2000+K183*100))))/10))</f>
        <v>-4.4758824664314671</v>
      </c>
      <c r="P183" s="7">
        <f>IF(N183="",0,IF(EXACT(RIGHT(N183,2),"dB"),IF(ABS(VALUE(LEFT(N183,FIND(" ",N183,1)))-O183)&lt;=0.5,1,-1),-1))</f>
        <v>0</v>
      </c>
      <c r="Q183" s="18"/>
      <c r="R183" s="35">
        <f>(10^((100-3+10*LOG10(1/(4*PI()*(3+J183/2)^2)))/10)*COS((90-(30+L183*6))/180*PI()))/(10^((100+10*LOG10(1/(4*PI()*(3+J183/2)^2)))/10)+10^((100-3+10*LOG10(1/(4*PI()*(3+J183/2)^2)))/10))</f>
        <v>0.28913173963310662</v>
      </c>
      <c r="S183" s="7">
        <f>IF(Q183="",0,IF(ABS(VALUE(Q183)-R183)&lt;=0.05,1,-1))</f>
        <v>0</v>
      </c>
      <c r="T183" s="18"/>
      <c r="U183" s="76">
        <f>10*LOG10(10^((100+10*LOG10(1/(4*PI()*(3+J183/2)^2)))/10)+10^((100-3+10*LOG10(1/(4*PI()*(3+J183/2)^2)))/10)+10^((100+10*LOG10(4*(1+L183/10)/(0.16*(2000+K183*100))))/10))-100+31</f>
        <v>13.593856284196022</v>
      </c>
      <c r="V183" s="7">
        <f>IF(T183="",0,IF(EXACT(RIGHT(T183,2),"dB"),IF(ABS(VALUE(LEFT(T183,FIND(" ",T183,1)))-U183)&lt;=0.5,1,-1),-1))</f>
        <v>0</v>
      </c>
      <c r="W183" s="59" t="s">
        <v>146</v>
      </c>
      <c r="X183" s="35">
        <f>(0.5+L183/20)/(1+10^(-(5+K183)/10))</f>
        <v>0.71420495922434712</v>
      </c>
      <c r="Y183" s="7">
        <v>-1</v>
      </c>
      <c r="Z183" s="34" t="s">
        <v>148</v>
      </c>
      <c r="AA183" s="76">
        <f>10*LOG10(1+((100+K183*10+L183)*(0.5+J183/20))/((0.1+J183/100)*(6*(5+L183/2)^2)))</f>
        <v>5.7295760962365527</v>
      </c>
      <c r="AB183" s="7">
        <f>IF(Z183="",0,IF(EXACT(RIGHT(Z183,2),"dB"),IF(ABS(VALUE(LEFT(Z183,FIND(" ",Z183,1)))-AA183)&lt;=0.5,1,-1),-1))</f>
        <v>-1</v>
      </c>
      <c r="AC183" s="34">
        <v>0.56667000000000001</v>
      </c>
      <c r="AD183" s="35">
        <f>0.3+L183/30+0.1</f>
        <v>0.56666666666666665</v>
      </c>
      <c r="AE183" s="7">
        <f>IF(AC183="",0,IF(ABS(VALUE(AC183)-AD183)&lt;=0.05,1,-1))</f>
        <v>1</v>
      </c>
      <c r="AF183" s="34">
        <v>0.86</v>
      </c>
      <c r="AG183" s="35">
        <f>1-AD183</f>
        <v>0.43333333333333335</v>
      </c>
      <c r="AH183" s="7">
        <f>IF(AF183="",0,IF(ABS(VALUE(AF183)-AG183)&lt;=0.05,1,-1))</f>
        <v>-1</v>
      </c>
      <c r="AI183" s="36" t="s">
        <v>147</v>
      </c>
      <c r="AJ183" s="76">
        <f>-10*LOG10(1-(0.3+K183/20))</f>
        <v>5.2287874528033749</v>
      </c>
      <c r="AK183" s="7">
        <f>IF(AI183="",0,IF(EXACT(RIGHT(AI183,2),"dB"),IF(ABS(ABS(VALUE(LEFT(AI183,FIND(" ",AI183,1))))-AJ183)&lt;=0.5,1,-1),-1))</f>
        <v>-1</v>
      </c>
      <c r="AL183" s="18"/>
      <c r="AM183" s="35">
        <f>((0.16*(200+K183*10+L183)/(2+K183/10))-0.16*(200+K183*10+L183)/(6+L183/10))/10</f>
        <v>0.92703296703296734</v>
      </c>
      <c r="AN183" s="7">
        <f>IF(AL183="",0,IF(ABS(VALUE(AL183)-AM183)&lt;=0.05,1,-1))</f>
        <v>0</v>
      </c>
      <c r="AO183" s="34" t="s">
        <v>149</v>
      </c>
      <c r="AP183" s="35">
        <f>((0.16*(200+K183*10+L183)/(2+K183/10))-0.16*(200+K183*10+L183)/(6+L183/10))/(10+J183)</f>
        <v>0.66216640502354807</v>
      </c>
      <c r="AQ183" s="7">
        <f>IF(AO183="",0,IF(EXACT(RIGHT(AO183,2),"m2"),IF(ABS(VALUE(LEFT(AO183,FIND(" ",AO183,1)))-AP183)&lt;=0.05,1,-1),-1))</f>
        <v>1</v>
      </c>
      <c r="AR183" s="48">
        <f>M183+P183+S183+V183+Y183+AB183+AE183+AH183+AK183+AN183+AQ183</f>
        <v>0</v>
      </c>
    </row>
    <row r="184" spans="1:44" ht="12.75" x14ac:dyDescent="0.2">
      <c r="A184" s="32">
        <v>182</v>
      </c>
      <c r="B184" s="33">
        <v>41950.768477523146</v>
      </c>
      <c r="C184" s="34" t="s">
        <v>414</v>
      </c>
      <c r="D184" s="34" t="s">
        <v>415</v>
      </c>
      <c r="E184" s="17">
        <v>243327</v>
      </c>
      <c r="F184" s="6">
        <v>1</v>
      </c>
      <c r="G184" s="6">
        <f>INT(E184/100000)</f>
        <v>2</v>
      </c>
      <c r="H184" s="6">
        <f>INT(($E184-100000*G184)/10000)</f>
        <v>4</v>
      </c>
      <c r="I184" s="6">
        <f>INT(($E184-100000*G184-10000*H184)/1000)</f>
        <v>3</v>
      </c>
      <c r="J184" s="6">
        <f>INT(($E184-100000*$G184-10000*$H184-1000*$I184)/100)</f>
        <v>3</v>
      </c>
      <c r="K184" s="6">
        <f>INT(($E184-100000*$G184-10000*$H184-1000*$I184-100*$J184)/10)</f>
        <v>2</v>
      </c>
      <c r="L184" s="6">
        <f>INT(($E184-100000*$G184-10000*$H184-1000*$I184-100*$J184-10*$K184))</f>
        <v>7</v>
      </c>
      <c r="M184" s="7">
        <v>2</v>
      </c>
      <c r="N184" s="34" t="s">
        <v>416</v>
      </c>
      <c r="O184" s="76">
        <f>10*LOG10((10^((100+10*LOG10(1/(4*PI()*(3+J184/2)^2)))/10)+10^((100-3+10*LOG10(1/(4*PI()*(3+J184/2)^2)))/10))/10^((100+10*LOG10(4*(1+L184/10)/(0.16*(2000+K184*100))))/10))</f>
        <v>-5.151662783644035</v>
      </c>
      <c r="P184" s="7">
        <f>IF(N184="",0,IF(EXACT(RIGHT(N184,2),"dB"),IF(ABS(VALUE(LEFT(N184,FIND(" ",N184,1)))-O184)&lt;=0.5,1,-1),-1))</f>
        <v>-1</v>
      </c>
      <c r="Q184" s="18"/>
      <c r="R184" s="35">
        <f>(10^((100-3+10*LOG10(1/(4*PI()*(3+J184/2)^2)))/10)*COS((90-(30+L184*6))/180*PI()))/(10^((100+10*LOG10(1/(4*PI()*(3+J184/2)^2)))/10)+10^((100-3+10*LOG10(1/(4*PI()*(3+J184/2)^2)))/10))</f>
        <v>0.31752027578427117</v>
      </c>
      <c r="S184" s="7">
        <f>IF(Q184="",0,IF(ABS(VALUE(Q184)-R184)&lt;=0.05,1,-1))</f>
        <v>0</v>
      </c>
      <c r="T184" s="18"/>
      <c r="U184" s="76">
        <f>10*LOG10(10^((100+10*LOG10(1/(4*PI()*(3+J184/2)^2)))/10)+10^((100-3+10*LOG10(1/(4*PI()*(3+J184/2)^2)))/10)+10^((100+10*LOG10(4*(1+L184/10)/(0.16*(2000+K184*100))))/10))-100+31</f>
        <v>15.017015967718663</v>
      </c>
      <c r="V184" s="7">
        <f>IF(T184="",0,IF(EXACT(RIGHT(T184,2),"dB"),IF(ABS(VALUE(LEFT(T184,FIND(" ",T184,1)))-U184)&lt;=0.5,1,-1),-1))</f>
        <v>0</v>
      </c>
      <c r="W184" s="58">
        <v>0.70899999999999996</v>
      </c>
      <c r="X184" s="35">
        <f>(0.5+L184/20)/(1+10^(-(5+K184)/10))</f>
        <v>0.70861309880592238</v>
      </c>
      <c r="Y184" s="7">
        <f>IF(W184="",0,IF(ABS(VALUE(W184)-X184)&lt;=0.05,1,-1))</f>
        <v>1</v>
      </c>
      <c r="Z184" s="34" t="s">
        <v>418</v>
      </c>
      <c r="AA184" s="76">
        <f>10*LOG10(1+((100+K184*10+L184)*(0.5+J184/20))/((0.1+J184/100)*(6*(5+L184/2)^2)))</f>
        <v>3.9178542468785911</v>
      </c>
      <c r="AB184" s="7">
        <f>IF(Z184="",0,IF(EXACT(RIGHT(Z184,2),"dB"),IF(ABS(VALUE(LEFT(Z184,FIND(" ",Z184,1)))-AA184)&lt;=0.5,1,-1),-1))</f>
        <v>-1</v>
      </c>
      <c r="AC184" s="34">
        <v>0.53</v>
      </c>
      <c r="AD184" s="35">
        <f>0.3+L184/30+0.1</f>
        <v>0.6333333333333333</v>
      </c>
      <c r="AE184" s="7">
        <f>IF(AC184="",0,IF(ABS(VALUE(AC184)-AD184)&lt;=0.05,1,-1))</f>
        <v>-1</v>
      </c>
      <c r="AF184" s="34">
        <v>0.47</v>
      </c>
      <c r="AG184" s="35">
        <f>1-AD184</f>
        <v>0.3666666666666667</v>
      </c>
      <c r="AH184" s="7">
        <f>IF(AF184="",0,IF(ABS(VALUE(AF184)-AG184)&lt;=0.05,1,-1))</f>
        <v>-1</v>
      </c>
      <c r="AI184" s="34" t="s">
        <v>417</v>
      </c>
      <c r="AJ184" s="76">
        <f>-10*LOG10(1-(0.3+K184/20))</f>
        <v>2.2184874961635641</v>
      </c>
      <c r="AK184" s="7">
        <f>IF(AI184="",0,IF(EXACT(RIGHT(AI184,2),"dB"),IF(ABS(ABS(VALUE(LEFT(AI184,FIND(" ",AI184,1))))-AJ184)&lt;=0.5,1,-1),-1))</f>
        <v>-1</v>
      </c>
      <c r="AL184" s="34">
        <v>1.1088199999999999</v>
      </c>
      <c r="AM184" s="35">
        <f>((0.16*(200+K184*10+L184)/(2+K184/10))-0.16*(200+K184*10+L184)/(6+L184/10))/10</f>
        <v>1.1088195386702848</v>
      </c>
      <c r="AN184" s="7">
        <f>IF(AL184="",0,IF(ABS(VALUE(AL184)-AM184)&lt;=0.05,1,-1))</f>
        <v>1</v>
      </c>
      <c r="AO184" s="34" t="s">
        <v>419</v>
      </c>
      <c r="AP184" s="35">
        <f>((0.16*(200+K184*10+L184)/(2+K184/10))-0.16*(200+K184*10+L184)/(6+L184/10))/(10+J184)</f>
        <v>0.85293810666944991</v>
      </c>
      <c r="AQ184" s="7">
        <f>IF(AO184="",0,IF(EXACT(RIGHT(AO184,2),"m2"),IF(ABS(VALUE(LEFT(AO184,FIND(" ",AO184,1)))-AP184)&lt;=0.05,1,-1),-1))</f>
        <v>1</v>
      </c>
      <c r="AR184" s="48">
        <f>M184+P184+S184+V184+Y184+AB184+AE184+AH184+AK184+AN184+AQ184</f>
        <v>0</v>
      </c>
    </row>
    <row r="185" spans="1:44" ht="12.75" x14ac:dyDescent="0.2">
      <c r="A185" s="32">
        <v>183</v>
      </c>
      <c r="B185" s="33">
        <v>41950.768946759257</v>
      </c>
      <c r="C185" s="34" t="s">
        <v>500</v>
      </c>
      <c r="D185" s="34" t="s">
        <v>501</v>
      </c>
      <c r="E185" s="17">
        <v>243632</v>
      </c>
      <c r="F185" s="6">
        <v>1</v>
      </c>
      <c r="G185" s="6">
        <f>INT(E185/100000)</f>
        <v>2</v>
      </c>
      <c r="H185" s="6">
        <f>INT(($E185-100000*G185)/10000)</f>
        <v>4</v>
      </c>
      <c r="I185" s="6">
        <f>INT(($E185-100000*G185-10000*H185)/1000)</f>
        <v>3</v>
      </c>
      <c r="J185" s="6">
        <f>INT(($E185-100000*$G185-10000*$H185-1000*$I185)/100)</f>
        <v>6</v>
      </c>
      <c r="K185" s="6">
        <f>INT(($E185-100000*$G185-10000*$H185-1000*$I185-100*$J185)/10)</f>
        <v>3</v>
      </c>
      <c r="L185" s="6">
        <f>INT(($E185-100000*$G185-10000*$H185-1000*$I185-100*$J185-10*$K185))</f>
        <v>2</v>
      </c>
      <c r="M185" s="7">
        <v>2</v>
      </c>
      <c r="N185" s="34" t="s">
        <v>502</v>
      </c>
      <c r="O185" s="76">
        <f>10*LOG10((10^((100+10*LOG10(1/(4*PI()*(3+J185/2)^2)))/10)+10^((100-3+10*LOG10(1/(4*PI()*(3+J185/2)^2)))/10))/10^((100+10*LOG10(4*(1+L185/10)/(0.16*(2000+K185*100))))/10))</f>
        <v>-5.9447092105496724</v>
      </c>
      <c r="P185" s="7">
        <f>IF(N185="",0,IF(EXACT(RIGHT(N185,2),"dB"),IF(ABS(VALUE(LEFT(N185,FIND(" ",N185,1)))-O185)&lt;=0.5,1,-1),-1))</f>
        <v>-1</v>
      </c>
      <c r="Q185" s="18"/>
      <c r="R185" s="35">
        <f>(10^((100-3+10*LOG10(1/(4*PI()*(3+J185/2)^2)))/10)*COS((90-(30+L185*6))/180*PI()))/(10^((100+10*LOG10(1/(4*PI()*(3+J185/2)^2)))/10)+10^((100-3+10*LOG10(1/(4*PI()*(3+J185/2)^2)))/10))</f>
        <v>0.22339632926801328</v>
      </c>
      <c r="S185" s="7">
        <f>IF(Q185="",0,IF(ABS(VALUE(Q185)-R185)&lt;=0.05,1,-1))</f>
        <v>0</v>
      </c>
      <c r="T185" s="18"/>
      <c r="U185" s="76">
        <f>10*LOG10(10^((100+10*LOG10(1/(4*PI()*(3+J185/2)^2)))/10)+10^((100-3+10*LOG10(1/(4*PI()*(3+J185/2)^2)))/10)+10^((100+10*LOG10(4*(1+L185/10)/(0.16*(2000+K185*100))))/10))-100+31</f>
        <v>13.138318920576538</v>
      </c>
      <c r="V185" s="7">
        <f>IF(T185="",0,IF(EXACT(RIGHT(T185,2),"dB"),IF(ABS(VALUE(LEFT(T185,FIND(" ",T185,1)))-U185)&lt;=0.5,1,-1),-1))</f>
        <v>0</v>
      </c>
      <c r="W185" s="58">
        <v>0.500197</v>
      </c>
      <c r="X185" s="35">
        <f>(0.5+L185/20)/(1+10^(-(5+K185)/10))</f>
        <v>0.517915866838074</v>
      </c>
      <c r="Y185" s="7">
        <f>IF(W185="",0,IF(ABS(VALUE(W185)-X185)&lt;=0.05,1,-1))</f>
        <v>1</v>
      </c>
      <c r="Z185" s="34" t="s">
        <v>504</v>
      </c>
      <c r="AA185" s="76">
        <f>10*LOG10(1+((100+K185*10+L185)*(0.5+J185/20))/((0.1+J185/100)*(6*(5+L185/2)^2)))</f>
        <v>6.0805035501714979</v>
      </c>
      <c r="AB185" s="7">
        <f>IF(Z185="",0,IF(EXACT(RIGHT(Z185,2),"dB"),IF(ABS(VALUE(LEFT(Z185,FIND(" ",Z185,1)))-AA185)&lt;=0.5,1,-1),-1))</f>
        <v>-1</v>
      </c>
      <c r="AC185" s="34">
        <v>0.46</v>
      </c>
      <c r="AD185" s="35">
        <f>0.3+L185/30+0.1</f>
        <v>0.46666666666666667</v>
      </c>
      <c r="AE185" s="7">
        <f>IF(AC185="",0,IF(ABS(VALUE(AC185)-AD185)&lt;=0.05,1,-1))</f>
        <v>1</v>
      </c>
      <c r="AF185" s="34">
        <v>0.53</v>
      </c>
      <c r="AG185" s="35">
        <f>1-AD185</f>
        <v>0.53333333333333333</v>
      </c>
      <c r="AH185" s="7">
        <f>IF(AF185="",0,IF(ABS(VALUE(AF185)-AG185)&lt;=0.05,1,-1))</f>
        <v>1</v>
      </c>
      <c r="AI185" s="34" t="s">
        <v>503</v>
      </c>
      <c r="AJ185" s="76">
        <f>-10*LOG10(1-(0.3+K185/20))</f>
        <v>2.5963731050575611</v>
      </c>
      <c r="AK185" s="7">
        <f>IF(AI185="",0,IF(EXACT(RIGHT(AI185,2),"dB"),IF(ABS(ABS(VALUE(LEFT(AI185,FIND(" ",AI185,1))))-AJ185)&lt;=0.5,1,-1),-1))</f>
        <v>-1</v>
      </c>
      <c r="AL185" s="34">
        <v>0.90143099999999998</v>
      </c>
      <c r="AM185" s="35">
        <f>((0.16*(200+K185*10+L185)/(2+K185/10))-0.16*(200+K185*10+L185)/(6+L185/10))/10</f>
        <v>1.0152033660589059</v>
      </c>
      <c r="AN185" s="7">
        <f>IF(AL185="",0,IF(ABS(VALUE(AL185)-AM185)&lt;=0.05,1,-1))</f>
        <v>-1</v>
      </c>
      <c r="AO185" s="34" t="s">
        <v>505</v>
      </c>
      <c r="AP185" s="35">
        <f>((0.16*(200+K185*10+L185)/(2+K185/10))-0.16*(200+K185*10+L185)/(6+L185/10))/(10+J185)</f>
        <v>0.63450210378681626</v>
      </c>
      <c r="AQ185" s="7">
        <f>IF(AO185="",0,IF(EXACT(RIGHT(AO185,2),"m2"),IF(ABS(VALUE(LEFT(AO185,FIND(" ",AO185,1)))-AP185)&lt;=0.05,1,-1),-1))</f>
        <v>-1</v>
      </c>
      <c r="AR185" s="48">
        <f>M185+P185+S185+V185+Y185+AB185+AE185+AH185+AK185+AN185+AQ185</f>
        <v>0</v>
      </c>
    </row>
    <row r="186" spans="1:44" ht="12.75" x14ac:dyDescent="0.2">
      <c r="A186" s="32">
        <v>184</v>
      </c>
      <c r="B186" s="33">
        <v>41950.771314803234</v>
      </c>
      <c r="C186" s="34" t="s">
        <v>758</v>
      </c>
      <c r="D186" s="34" t="s">
        <v>759</v>
      </c>
      <c r="E186" s="17">
        <v>242321</v>
      </c>
      <c r="F186" s="6">
        <v>1</v>
      </c>
      <c r="G186" s="6">
        <f>INT(E186/100000)</f>
        <v>2</v>
      </c>
      <c r="H186" s="6">
        <f>INT(($E186-100000*G186)/10000)</f>
        <v>4</v>
      </c>
      <c r="I186" s="6">
        <f>INT(($E186-100000*G186-10000*H186)/1000)</f>
        <v>2</v>
      </c>
      <c r="J186" s="6">
        <f>INT(($E186-100000*$G186-10000*$H186-1000*$I186)/100)</f>
        <v>3</v>
      </c>
      <c r="K186" s="6">
        <f>INT(($E186-100000*$G186-10000*$H186-1000*$I186-100*$J186)/10)</f>
        <v>2</v>
      </c>
      <c r="L186" s="6">
        <f>INT(($E186-100000*$G186-10000*$H186-1000*$I186-100*$J186-10*$K186))</f>
        <v>1</v>
      </c>
      <c r="M186" s="7">
        <v>2</v>
      </c>
      <c r="N186" s="18"/>
      <c r="O186" s="76">
        <f>10*LOG10((10^((100+10*LOG10(1/(4*PI()*(3+J186/2)^2)))/10)+10^((100-3+10*LOG10(1/(4*PI()*(3+J186/2)^2)))/10))/10^((100+10*LOG10(4*(1+L186/10)/(0.16*(2000+K186*100))))/10))</f>
        <v>-3.2611004214435422</v>
      </c>
      <c r="P186" s="7">
        <f>IF(N186="",0,IF(EXACT(RIGHT(N186,2),"dB"),IF(ABS(VALUE(LEFT(N186,FIND(" ",N186,1)))-O186)&lt;=0.5,1,-1),-1))</f>
        <v>0</v>
      </c>
      <c r="Q186" s="18"/>
      <c r="R186" s="35">
        <f>(10^((100-3+10*LOG10(1/(4*PI()*(3+J186/2)^2)))/10)*COS((90-(30+L186*6))/180*PI()))/(10^((100+10*LOG10(1/(4*PI()*(3+J186/2)^2)))/10)+10^((100-3+10*LOG10(1/(4*PI()*(3+J186/2)^2)))/10))</f>
        <v>0.19623832255191975</v>
      </c>
      <c r="S186" s="7">
        <f>IF(Q186="",0,IF(ABS(VALUE(Q186)-R186)&lt;=0.05,1,-1))</f>
        <v>0</v>
      </c>
      <c r="T186" s="18"/>
      <c r="U186" s="76">
        <f>10*LOG10(10^((100+10*LOG10(1/(4*PI()*(3+J186/2)^2)))/10)+10^((100-3+10*LOG10(1/(4*PI()*(3+J186/2)^2)))/10)+10^((100+10*LOG10(4*(1+L186/10)/(0.16*(2000+K186*100))))/10))-100+31</f>
        <v>13.648011366999896</v>
      </c>
      <c r="V186" s="7">
        <f>IF(T186="",0,IF(EXACT(RIGHT(T186,2),"dB"),IF(ABS(VALUE(LEFT(T186,FIND(" ",T186,1)))-U186)&lt;=0.5,1,-1),-1))</f>
        <v>0</v>
      </c>
      <c r="W186" s="58">
        <v>0.25</v>
      </c>
      <c r="X186" s="35">
        <f>(0.5+L186/20)/(1+10^(-(5+K186)/10))</f>
        <v>0.45851435805089097</v>
      </c>
      <c r="Y186" s="7">
        <f>IF(W186="",0,IF(ABS(VALUE(W186)-X186)&lt;=0.05,1,-1))</f>
        <v>-1</v>
      </c>
      <c r="Z186" s="36" t="s">
        <v>761</v>
      </c>
      <c r="AA186" s="76">
        <f>10*LOG10(1+((100+K186*10+L186)*(0.5+J186/20))/((0.1+J186/100)*(6*(5+L186/2)^2)))</f>
        <v>6.3682209758717434</v>
      </c>
      <c r="AB186" s="7">
        <f>IF(Z186="",0,IF(EXACT(RIGHT(Z186,2),"dB"),IF(ABS(VALUE(LEFT(Z186,FIND(" ",Z186,1)))-AA186)&lt;=0.5,1,-1),-1))</f>
        <v>-1</v>
      </c>
      <c r="AC186" s="34">
        <v>0.433</v>
      </c>
      <c r="AD186" s="35">
        <f>0.3+L186/30+0.1</f>
        <v>0.43333333333333335</v>
      </c>
      <c r="AE186" s="7">
        <f>IF(AC186="",0,IF(ABS(VALUE(AC186)-AD186)&lt;=0.05,1,-1))</f>
        <v>1</v>
      </c>
      <c r="AF186" s="34">
        <v>0.56699999999999995</v>
      </c>
      <c r="AG186" s="35">
        <f>1-AD186</f>
        <v>0.56666666666666665</v>
      </c>
      <c r="AH186" s="7">
        <f>IF(AF186="",0,IF(ABS(VALUE(AF186)-AG186)&lt;=0.05,1,-1))</f>
        <v>1</v>
      </c>
      <c r="AI186" s="36" t="s">
        <v>760</v>
      </c>
      <c r="AJ186" s="76">
        <f>-10*LOG10(1-(0.3+K186/20))</f>
        <v>2.2184874961635641</v>
      </c>
      <c r="AK186" s="7">
        <f>IF(AI186="",0,IF(EXACT(RIGHT(AI186,2),"dB"),IF(ABS(ABS(VALUE(LEFT(AI186,FIND(" ",AI186,1))))-AJ186)&lt;=0.5,1,-1),-1))</f>
        <v>-1</v>
      </c>
      <c r="AL186" s="34">
        <v>0.93600000000000005</v>
      </c>
      <c r="AM186" s="35">
        <f>((0.16*(200+K186*10+L186)/(2+K186/10))-0.16*(200+K186*10+L186)/(6+L186/10))/10</f>
        <v>1.0276005961251862</v>
      </c>
      <c r="AN186" s="7">
        <f>IF(AL186="",0,IF(ABS(VALUE(AL186)-AM186)&lt;=0.05,1,-1))</f>
        <v>-1</v>
      </c>
      <c r="AO186" s="18"/>
      <c r="AP186" s="35">
        <f>((0.16*(200+K186*10+L186)/(2+K186/10))-0.16*(200+K186*10+L186)/(6+L186/10))/(10+J186)</f>
        <v>0.79046199701937403</v>
      </c>
      <c r="AQ186" s="7">
        <f>IF(AO186="",0,IF(EXACT(RIGHT(AO186,2),"m2"),IF(ABS(VALUE(LEFT(AO186,FIND(" ",AO186,1)))-AP186)&lt;=0.05,1,-1),-1))</f>
        <v>0</v>
      </c>
      <c r="AR186" s="48">
        <f>M186+P186+S186+V186+Y186+AB186+AE186+AH186+AK186+AN186+AQ186</f>
        <v>0</v>
      </c>
    </row>
    <row r="187" spans="1:44" ht="12.75" x14ac:dyDescent="0.2">
      <c r="A187" s="32">
        <v>185</v>
      </c>
      <c r="B187" s="33">
        <v>41950.771393912037</v>
      </c>
      <c r="C187" s="34" t="s">
        <v>762</v>
      </c>
      <c r="D187" s="34" t="s">
        <v>763</v>
      </c>
      <c r="E187" s="17">
        <v>243627</v>
      </c>
      <c r="F187" s="6">
        <v>1</v>
      </c>
      <c r="G187" s="6">
        <f>INT(E187/100000)</f>
        <v>2</v>
      </c>
      <c r="H187" s="6">
        <f>INT(($E187-100000*G187)/10000)</f>
        <v>4</v>
      </c>
      <c r="I187" s="6">
        <f>INT(($E187-100000*G187-10000*H187)/1000)</f>
        <v>3</v>
      </c>
      <c r="J187" s="6">
        <f>INT(($E187-100000*$G187-10000*$H187-1000*$I187)/100)</f>
        <v>6</v>
      </c>
      <c r="K187" s="6">
        <f>INT(($E187-100000*$G187-10000*$H187-1000*$I187-100*$J187)/10)</f>
        <v>2</v>
      </c>
      <c r="L187" s="6">
        <f>INT(($E187-100000*$G187-10000*$H187-1000*$I187-100*$J187-10*$K187))</f>
        <v>7</v>
      </c>
      <c r="M187" s="7">
        <v>2</v>
      </c>
      <c r="N187" s="18"/>
      <c r="O187" s="76">
        <f>10*LOG10((10^((100+10*LOG10(1/(4*PI()*(3+J187/2)^2)))/10)+10^((100-3+10*LOG10(1/(4*PI()*(3+J187/2)^2)))/10))/10^((100+10*LOG10(4*(1+L187/10)/(0.16*(2000+K187*100))))/10))</f>
        <v>-7.6504375158100357</v>
      </c>
      <c r="P187" s="7">
        <f>IF(N187="",0,IF(EXACT(RIGHT(N187,2),"dB"),IF(ABS(VALUE(LEFT(N187,FIND(" ",N187,1)))-O187)&lt;=0.5,1,-1),-1))</f>
        <v>0</v>
      </c>
      <c r="Q187" s="18"/>
      <c r="R187" s="35">
        <f>(10^((100-3+10*LOG10(1/(4*PI()*(3+J187/2)^2)))/10)*COS((90-(30+L187*6))/180*PI()))/(10^((100+10*LOG10(1/(4*PI()*(3+J187/2)^2)))/10)+10^((100-3+10*LOG10(1/(4*PI()*(3+J187/2)^2)))/10))</f>
        <v>0.31752027578427189</v>
      </c>
      <c r="S187" s="7">
        <f>IF(Q187="",0,IF(ABS(VALUE(Q187)-R187)&lt;=0.05,1,-1))</f>
        <v>0</v>
      </c>
      <c r="T187" s="18"/>
      <c r="U187" s="76">
        <f>10*LOG10(10^((100+10*LOG10(1/(4*PI()*(3+J187/2)^2)))/10)+10^((100-3+10*LOG10(1/(4*PI()*(3+J187/2)^2)))/10)+10^((100+10*LOG10(4*(1+L187/10)/(0.16*(2000+K187*100))))/10))-100+31</f>
        <v>14.548099335744453</v>
      </c>
      <c r="V187" s="7">
        <f>IF(T187="",0,IF(EXACT(RIGHT(T187,2),"dB"),IF(ABS(VALUE(LEFT(T187,FIND(" ",T187,1)))-U187)&lt;=0.5,1,-1),-1))</f>
        <v>0</v>
      </c>
      <c r="W187" s="58">
        <v>0.38250000000000001</v>
      </c>
      <c r="X187" s="35">
        <f>(0.5+L187/20)/(1+10^(-(5+K187)/10))</f>
        <v>0.70861309880592238</v>
      </c>
      <c r="Y187" s="7">
        <f>IF(W187="",0,IF(ABS(VALUE(W187)-X187)&lt;=0.05,1,-1))</f>
        <v>-1</v>
      </c>
      <c r="Z187" s="36" t="s">
        <v>765</v>
      </c>
      <c r="AA187" s="76">
        <f>10*LOG10(1+((100+K187*10+L187)*(0.5+J187/20))/((0.1+J187/100)*(6*(5+L187/2)^2)))</f>
        <v>3.917854246878592</v>
      </c>
      <c r="AB187" s="7">
        <f>IF(Z187="",0,IF(EXACT(RIGHT(Z187,2),"dB"),IF(ABS(VALUE(LEFT(Z187,FIND(" ",Z187,1)))-AA187)&lt;=0.5,1,-1),-1))</f>
        <v>-1</v>
      </c>
      <c r="AC187" s="34">
        <v>0.63300000000000001</v>
      </c>
      <c r="AD187" s="35">
        <f>0.3+L187/30+0.1</f>
        <v>0.6333333333333333</v>
      </c>
      <c r="AE187" s="7">
        <f>IF(AC187="",0,IF(ABS(VALUE(AC187)-AD187)&lt;=0.05,1,-1))</f>
        <v>1</v>
      </c>
      <c r="AF187" s="34">
        <v>0.36699999999999999</v>
      </c>
      <c r="AG187" s="35">
        <f>1-AD187</f>
        <v>0.3666666666666667</v>
      </c>
      <c r="AH187" s="7">
        <f>IF(AF187="",0,IF(ABS(VALUE(AF187)-AG187)&lt;=0.05,1,-1))</f>
        <v>1</v>
      </c>
      <c r="AI187" s="34" t="s">
        <v>764</v>
      </c>
      <c r="AJ187" s="76">
        <f>-10*LOG10(1-(0.3+K187/20))</f>
        <v>2.2184874961635641</v>
      </c>
      <c r="AK187" s="7">
        <f>IF(AI187="",0,IF(EXACT(RIGHT(AI187,2),"dB"),IF(ABS(ABS(VALUE(LEFT(AI187,FIND(" ",AI187,1))))-AJ187)&lt;=0.5,1,-1),-1))</f>
        <v>-1</v>
      </c>
      <c r="AL187" s="34">
        <v>1.0489999999999999</v>
      </c>
      <c r="AM187" s="35">
        <f>((0.16*(200+K187*10+L187)/(2+K187/10))-0.16*(200+K187*10+L187)/(6+L187/10))/10</f>
        <v>1.1088195386702848</v>
      </c>
      <c r="AN187" s="7">
        <f>IF(AL187="",0,IF(ABS(VALUE(AL187)-AM187)&lt;=0.05,1,-1))</f>
        <v>-1</v>
      </c>
      <c r="AO187" s="18"/>
      <c r="AP187" s="35">
        <f>((0.16*(200+K187*10+L187)/(2+K187/10))-0.16*(200+K187*10+L187)/(6+L187/10))/(10+J187)</f>
        <v>0.69301221166892801</v>
      </c>
      <c r="AQ187" s="7">
        <f>IF(AO187="",0,IF(EXACT(RIGHT(AO187,2),"m2"),IF(ABS(VALUE(LEFT(AO187,FIND(" ",AO187,1)))-AP187)&lt;=0.05,1,-1),-1))</f>
        <v>0</v>
      </c>
      <c r="AR187" s="48">
        <f>M187+P187+S187+V187+Y187+AB187+AE187+AH187+AK187+AN187+AQ187</f>
        <v>0</v>
      </c>
    </row>
    <row r="188" spans="1:44" ht="12.75" x14ac:dyDescent="0.2">
      <c r="A188" s="32">
        <v>186</v>
      </c>
      <c r="B188" s="33">
        <v>41950.769145243059</v>
      </c>
      <c r="C188" s="34" t="s">
        <v>536</v>
      </c>
      <c r="D188" s="34" t="s">
        <v>537</v>
      </c>
      <c r="E188" s="17">
        <v>190986</v>
      </c>
      <c r="F188" s="6">
        <v>1</v>
      </c>
      <c r="G188" s="6">
        <f>INT(E188/100000)</f>
        <v>1</v>
      </c>
      <c r="H188" s="6">
        <f>INT(($E188-100000*G188)/10000)</f>
        <v>9</v>
      </c>
      <c r="I188" s="6">
        <f>INT(($E188-100000*G188-10000*H188)/1000)</f>
        <v>0</v>
      </c>
      <c r="J188" s="6">
        <f>INT(($E188-100000*$G188-10000*$H188-1000*$I188)/100)</f>
        <v>9</v>
      </c>
      <c r="K188" s="6">
        <f>INT(($E188-100000*$G188-10000*$H188-1000*$I188-100*$J188)/10)</f>
        <v>8</v>
      </c>
      <c r="L188" s="6">
        <f>INT(($E188-100000*$G188-10000*$H188-1000*$I188-100*$J188-10*$K188))</f>
        <v>6</v>
      </c>
      <c r="M188" s="7">
        <v>2</v>
      </c>
      <c r="N188" s="18"/>
      <c r="O188" s="76">
        <f>10*LOG10((10^((100+10*LOG10(1/(4*PI()*(3+J188/2)^2)))/10)+10^((100-3+10*LOG10(1/(4*PI()*(3+J188/2)^2)))/10))/10^((100+10*LOG10(4*(1+L188/10)/(0.16*(2000+K188*100))))/10))</f>
        <v>-8.2779948835475334</v>
      </c>
      <c r="P188" s="7">
        <f>IF(N188="",0,IF(EXACT(RIGHT(N188,2),"dB"),IF(ABS(VALUE(LEFT(N188,FIND(" ",N188,1)))-O188)&lt;=0.5,1,-1),-1))</f>
        <v>0</v>
      </c>
      <c r="Q188" s="18"/>
      <c r="R188" s="35">
        <f>(10^((100-3+10*LOG10(1/(4*PI()*(3+J188/2)^2)))/10)*COS((90-(30+L188*6))/180*PI()))/(10^((100+10*LOG10(1/(4*PI()*(3+J188/2)^2)))/10)+10^((100-3+10*LOG10(1/(4*PI()*(3+J188/2)^2)))/10))</f>
        <v>0.30499681215803404</v>
      </c>
      <c r="S188" s="7">
        <f>IF(Q188="",0,IF(ABS(VALUE(Q188)-R188)&lt;=0.05,1,-1))</f>
        <v>0</v>
      </c>
      <c r="T188" s="18"/>
      <c r="U188" s="76">
        <f>10*LOG10(10^((100+10*LOG10(1/(4*PI()*(3+J188/2)^2)))/10)+10^((100-3+10*LOG10(1/(4*PI()*(3+J188/2)^2)))/10)+10^((100+10*LOG10(4*(1+L188/10)/(0.16*(2000+K188*100))))/10))-100+31</f>
        <v>13.150942839177773</v>
      </c>
      <c r="V188" s="7">
        <f>IF(T188="",0,IF(EXACT(RIGHT(T188,2),"dB"),IF(ABS(VALUE(LEFT(T188,FIND(" ",T188,1)))-U188)&lt;=0.5,1,-1),-1))</f>
        <v>0</v>
      </c>
      <c r="W188" s="58">
        <v>3.8100000000000002E-2</v>
      </c>
      <c r="X188" s="35">
        <f>(0.5+L188/20)/(1+10^(-(5+K188)/10))</f>
        <v>0.76181862317263693</v>
      </c>
      <c r="Y188" s="7">
        <f>IF(W188="",0,IF(ABS(VALUE(W188)-X188)&lt;=0.05,1,-1))</f>
        <v>-1</v>
      </c>
      <c r="Z188" s="34" t="s">
        <v>539</v>
      </c>
      <c r="AA188" s="76">
        <f>10*LOG10(1+((100+K188*10+L188)*(0.5+J188/20))/((0.1+J188/100)*(6*(5+L188/2)^2)))</f>
        <v>5.3426414085623106</v>
      </c>
      <c r="AB188" s="7">
        <f>IF(Z188="",0,IF(EXACT(RIGHT(Z188,2),"dB"),IF(ABS(VALUE(LEFT(Z188,FIND(" ",Z188,1)))-AA188)&lt;=0.5,1,-1),-1))</f>
        <v>-1</v>
      </c>
      <c r="AC188" s="34">
        <v>0.6</v>
      </c>
      <c r="AD188" s="35">
        <f>0.3+L188/30+0.1</f>
        <v>0.6</v>
      </c>
      <c r="AE188" s="7">
        <f>IF(AC188="",0,IF(ABS(VALUE(AC188)-AD188)&lt;=0.05,1,-1))</f>
        <v>1</v>
      </c>
      <c r="AF188" s="34">
        <v>0.4</v>
      </c>
      <c r="AG188" s="35">
        <f>1-AD188</f>
        <v>0.4</v>
      </c>
      <c r="AH188" s="7">
        <f>IF(AF188="",0,IF(ABS(VALUE(AF188)-AG188)&lt;=0.05,1,-1))</f>
        <v>1</v>
      </c>
      <c r="AI188" s="73" t="s">
        <v>538</v>
      </c>
      <c r="AJ188" s="76">
        <f>-10*LOG10(1-(0.3+K188/20))</f>
        <v>5.2287874528033749</v>
      </c>
      <c r="AK188" s="7">
        <f>IF(AI188="",0,IF(EXACT(RIGHT(AI188,2),"dB"),IF(ABS(ABS(VALUE(LEFT(AI188,FIND(" ",AI188,1))))-AJ188)&lt;=0.5,1,-1),-1))</f>
        <v>-1</v>
      </c>
      <c r="AL188" s="34">
        <v>1.371</v>
      </c>
      <c r="AM188" s="35">
        <f>((0.16*(200+K188*10+L188)/(2+K188/10))-0.16*(200+K188*10+L188)/(6+L188/10))/10</f>
        <v>0.94095238095238076</v>
      </c>
      <c r="AN188" s="7">
        <f>IF(AL188="",0,IF(ABS(VALUE(AL188)-AM188)&lt;=0.05,1,-1))</f>
        <v>-1</v>
      </c>
      <c r="AO188" s="34" t="s">
        <v>540</v>
      </c>
      <c r="AP188" s="35">
        <f>((0.16*(200+K188*10+L188)/(2+K188/10))-0.16*(200+K188*10+L188)/(6+L188/10))/(10+J188)</f>
        <v>0.49523809523809514</v>
      </c>
      <c r="AQ188" s="7">
        <f>IF(AO188="",0,IF(EXACT(RIGHT(AO188,2),"m2"),IF(ABS(VALUE(LEFT(AO188,FIND(" ",AO188,1)))-AP188)&lt;=0.05,1,-1),-1))</f>
        <v>-1</v>
      </c>
      <c r="AR188" s="48">
        <f>M188+P188+S188+V188+Y188+AB188+AE188+AH188+AK188+AN188+AQ188</f>
        <v>-1</v>
      </c>
    </row>
    <row r="189" spans="1:44" ht="12.75" x14ac:dyDescent="0.2">
      <c r="A189" s="32">
        <v>187</v>
      </c>
      <c r="B189" s="33">
        <v>41950.770350289349</v>
      </c>
      <c r="C189" s="34" t="s">
        <v>679</v>
      </c>
      <c r="D189" s="34" t="s">
        <v>680</v>
      </c>
      <c r="E189" s="17">
        <v>242331</v>
      </c>
      <c r="F189" s="6">
        <v>1</v>
      </c>
      <c r="G189" s="6">
        <f>INT(E189/100000)</f>
        <v>2</v>
      </c>
      <c r="H189" s="6">
        <f>INT(($E189-100000*G189)/10000)</f>
        <v>4</v>
      </c>
      <c r="I189" s="6">
        <f>INT(($E189-100000*G189-10000*H189)/1000)</f>
        <v>2</v>
      </c>
      <c r="J189" s="6">
        <f>INT(($E189-100000*$G189-10000*$H189-1000*$I189)/100)</f>
        <v>3</v>
      </c>
      <c r="K189" s="6">
        <f>INT(($E189-100000*$G189-10000*$H189-1000*$I189-100*$J189)/10)</f>
        <v>3</v>
      </c>
      <c r="L189" s="6">
        <f>INT(($E189-100000*$G189-10000*$H189-1000*$I189-100*$J189-10*$K189))</f>
        <v>1</v>
      </c>
      <c r="M189" s="7">
        <v>2</v>
      </c>
      <c r="N189" s="18"/>
      <c r="O189" s="76">
        <f>10*LOG10((10^((100+10*LOG10(1/(4*PI()*(3+J189/2)^2)))/10)+10^((100-3+10*LOG10(1/(4*PI()*(3+J189/2)^2)))/10))/10^((100+10*LOG10(4*(1+L189/10)/(0.16*(2000+K189*100))))/10))</f>
        <v>-3.0680488694896773</v>
      </c>
      <c r="P189" s="7">
        <f>IF(N189="",0,IF(EXACT(RIGHT(N189,2),"dB"),IF(ABS(VALUE(LEFT(N189,FIND(" ",N189,1)))-O189)&lt;=0.5,1,-1),-1))</f>
        <v>0</v>
      </c>
      <c r="Q189" s="18"/>
      <c r="R189" s="35">
        <f>(10^((100-3+10*LOG10(1/(4*PI()*(3+J189/2)^2)))/10)*COS((90-(30+L189*6))/180*PI()))/(10^((100+10*LOG10(1/(4*PI()*(3+J189/2)^2)))/10)+10^((100-3+10*LOG10(1/(4*PI()*(3+J189/2)^2)))/10))</f>
        <v>0.19623832255191975</v>
      </c>
      <c r="S189" s="7">
        <f>IF(Q189="",0,IF(ABS(VALUE(Q189)-R189)&lt;=0.05,1,-1))</f>
        <v>0</v>
      </c>
      <c r="T189" s="18"/>
      <c r="U189" s="76">
        <f>10*LOG10(10^((100+10*LOG10(1/(4*PI()*(3+J189/2)^2)))/10)+10^((100-3+10*LOG10(1/(4*PI()*(3+J189/2)^2)))/10)+10^((100+10*LOG10(4*(1+L189/10)/(0.16*(2000+K189*100))))/10))-100+31</f>
        <v>13.517796726545924</v>
      </c>
      <c r="V189" s="7">
        <f>IF(T189="",0,IF(EXACT(RIGHT(T189,2),"dB"),IF(ABS(VALUE(LEFT(T189,FIND(" ",T189,1)))-U189)&lt;=0.5,1,-1),-1))</f>
        <v>0</v>
      </c>
      <c r="W189" s="58">
        <v>0.39500000000000002</v>
      </c>
      <c r="X189" s="35">
        <f>(0.5+L189/20)/(1+10^(-(5+K189)/10))</f>
        <v>0.47475621126823458</v>
      </c>
      <c r="Y189" s="7">
        <f>IF(W189="",0,IF(ABS(VALUE(W189)-X189)&lt;=0.05,1,-1))</f>
        <v>-1</v>
      </c>
      <c r="Z189" s="34" t="s">
        <v>682</v>
      </c>
      <c r="AA189" s="76">
        <f>10*LOG10(1+((100+K189*10+L189)*(0.5+J189/20))/((0.1+J189/100)*(6*(5+L189/2)^2)))</f>
        <v>6.6358931592628192</v>
      </c>
      <c r="AB189" s="7">
        <f>IF(Z189="",0,IF(EXACT(RIGHT(Z189,2),"dB"),IF(ABS(VALUE(LEFT(Z189,FIND(" ",Z189,1)))-AA189)&lt;=0.5,1,-1),-1))</f>
        <v>-1</v>
      </c>
      <c r="AC189" s="34">
        <v>0.433</v>
      </c>
      <c r="AD189" s="35">
        <f>0.3+L189/30+0.1</f>
        <v>0.43333333333333335</v>
      </c>
      <c r="AE189" s="7">
        <f>IF(AC189="",0,IF(ABS(VALUE(AC189)-AD189)&lt;=0.05,1,-1))</f>
        <v>1</v>
      </c>
      <c r="AF189" s="34">
        <v>0.56699999999999995</v>
      </c>
      <c r="AG189" s="35">
        <f>1-AD189</f>
        <v>0.56666666666666665</v>
      </c>
      <c r="AH189" s="7">
        <f>IF(AF189="",0,IF(ABS(VALUE(AF189)-AG189)&lt;=0.05,1,-1))</f>
        <v>1</v>
      </c>
      <c r="AI189" s="34" t="s">
        <v>681</v>
      </c>
      <c r="AJ189" s="76">
        <f>-10*LOG10(1-(0.3+K189/20))</f>
        <v>2.5963731050575611</v>
      </c>
      <c r="AK189" s="7">
        <f>IF(AI189="",0,IF(EXACT(RIGHT(AI189,2),"dB"),IF(ABS(ABS(VALUE(LEFT(AI189,FIND(" ",AI189,1))))-AJ189)&lt;=0.5,1,-1),-1))</f>
        <v>-1</v>
      </c>
      <c r="AL189" s="34">
        <v>0.88100000000000001</v>
      </c>
      <c r="AM189" s="35">
        <f>((0.16*(200+K189*10+L189)/(2+K189/10))-0.16*(200+K189*10+L189)/(6+L189/10))/10</f>
        <v>1.0010548823948686</v>
      </c>
      <c r="AN189" s="7">
        <f>IF(AL189="",0,IF(ABS(VALUE(AL189)-AM189)&lt;=0.05,1,-1))</f>
        <v>-1</v>
      </c>
      <c r="AO189" s="36" t="s">
        <v>683</v>
      </c>
      <c r="AP189" s="35">
        <f>((0.16*(200+K189*10+L189)/(2+K189/10))-0.16*(200+K189*10+L189)/(6+L189/10))/(10+J189)</f>
        <v>0.77004221722682198</v>
      </c>
      <c r="AQ189" s="7">
        <f>IF(AO189="",0,IF(EXACT(RIGHT(AO189,2),"m2"),IF(ABS(VALUE(LEFT(AO189,FIND(" ",AO189,1)))-AP189)&lt;=0.05,1,-1),-1))</f>
        <v>-1</v>
      </c>
      <c r="AR189" s="48">
        <f>M189+P189+S189+V189+Y189+AB189+AE189+AH189+AK189+AN189+AQ189</f>
        <v>-1</v>
      </c>
    </row>
    <row r="190" spans="1:44" ht="12.75" x14ac:dyDescent="0.2">
      <c r="A190" s="32">
        <v>188</v>
      </c>
      <c r="B190" s="33">
        <v>41951.729254398153</v>
      </c>
      <c r="C190" s="18"/>
      <c r="D190" s="51" t="s">
        <v>930</v>
      </c>
      <c r="E190" s="52">
        <v>260330</v>
      </c>
      <c r="F190" s="6">
        <v>1</v>
      </c>
      <c r="G190" s="6">
        <f>INT(E190/100000)</f>
        <v>2</v>
      </c>
      <c r="H190" s="6">
        <f>INT(($E190-100000*G190)/10000)</f>
        <v>6</v>
      </c>
      <c r="I190" s="6">
        <f>INT(($E190-100000*G190-10000*H190)/1000)</f>
        <v>0</v>
      </c>
      <c r="J190" s="6">
        <f>INT(($E190-100000*$G190-10000*$H190-1000*$I190)/100)</f>
        <v>3</v>
      </c>
      <c r="K190" s="6">
        <f>INT(($E190-100000*$G190-10000*$H190-1000*$I190-100*$J190)/10)</f>
        <v>3</v>
      </c>
      <c r="L190" s="6">
        <f>INT(($E190-100000*$G190-10000*$H190-1000*$I190-100*$J190-10*$K190))</f>
        <v>0</v>
      </c>
      <c r="M190" s="7">
        <v>0</v>
      </c>
      <c r="N190" s="18"/>
      <c r="O190" s="76">
        <f>10*LOG10((10^((100+10*LOG10(1/(4*PI()*(3+J190/2)^2)))/10)+10^((100-3+10*LOG10(1/(4*PI()*(3+J190/2)^2)))/10))/10^((100+10*LOG10(4*(1+L190/10)/(0.16*(2000+K190*100))))/10))</f>
        <v>-2.6541220179074232</v>
      </c>
      <c r="P190" s="7">
        <f>IF(N190="",0,IF(EXACT(RIGHT(N190,2),"dB"),IF(ABS(VALUE(LEFT(N190,FIND(" ",N190,1)))-O190)&lt;=0.5,1,-1),-1))</f>
        <v>0</v>
      </c>
      <c r="Q190" s="18"/>
      <c r="R190" s="35">
        <f>(10^((100-3+10*LOG10(1/(4*PI()*(3+J190/2)^2)))/10)*COS((90-(30+L190*6))/180*PI()))/(10^((100+10*LOG10(1/(4*PI()*(3+J190/2)^2)))/10)+10^((100-3+10*LOG10(1/(4*PI()*(3+J190/2)^2)))/10))</f>
        <v>0.16693028770843893</v>
      </c>
      <c r="S190" s="7">
        <f>IF(Q190="",0,IF(ABS(VALUE(Q190)-R190)&lt;=0.05,1,-1))</f>
        <v>0</v>
      </c>
      <c r="T190" s="18"/>
      <c r="U190" s="76">
        <f>10*LOG10(10^((100+10*LOG10(1/(4*PI()*(3+J190/2)^2)))/10)+10^((100-3+10*LOG10(1/(4*PI()*(3+J190/2)^2)))/10)+10^((100+10*LOG10(4*(1+L190/10)/(0.16*(2000+K190*100))))/10))-100+31</f>
        <v>13.245034941645244</v>
      </c>
      <c r="V190" s="7">
        <f>IF(T190="",0,IF(EXACT(RIGHT(T190,2),"dB"),IF(ABS(VALUE(LEFT(T190,FIND(" ",T190,1)))-U190)&lt;=0.5,1,-1),-1))</f>
        <v>0</v>
      </c>
      <c r="W190" s="58">
        <v>0.45340999999999998</v>
      </c>
      <c r="X190" s="35">
        <f>(0.5+L190/20)/(1+10^(-(5+K190)/10))</f>
        <v>0.43159655569839506</v>
      </c>
      <c r="Y190" s="7">
        <f>IF(W190="",0,IF(ABS(VALUE(W190)-X190)&lt;=0.05,1,-1))</f>
        <v>1</v>
      </c>
      <c r="Z190" s="36" t="s">
        <v>931</v>
      </c>
      <c r="AA190" s="76">
        <f>10*LOG10(1+((100+K190*10+L190)*(0.5+J190/20))/((0.1+J190/100)*(6*(5+L190/2)^2)))</f>
        <v>7.2699872793626232</v>
      </c>
      <c r="AB190" s="7">
        <f>IF(Z190="",0,IF(EXACT(RIGHT(Z190,2),"dB"),IF(ABS(VALUE(LEFT(Z190,FIND(" ",Z190,1)))-AA190)&lt;=0.5,1,-1),-1))</f>
        <v>-1</v>
      </c>
      <c r="AC190" s="34">
        <v>0.4</v>
      </c>
      <c r="AD190" s="35">
        <f>0.3+L190/30+0.1</f>
        <v>0.4</v>
      </c>
      <c r="AE190" s="7">
        <f>IF(AC190="",0,IF(ABS(VALUE(AC190)-AD190)&lt;=0.05,1,-1))</f>
        <v>1</v>
      </c>
      <c r="AF190" s="34">
        <v>0.45</v>
      </c>
      <c r="AG190" s="35">
        <f>1-AD190</f>
        <v>0.6</v>
      </c>
      <c r="AH190" s="7">
        <f>IF(AF190="",0,IF(ABS(VALUE(AF190)-AG190)&lt;=0.05,1,-1))</f>
        <v>-1</v>
      </c>
      <c r="AI190" s="73" t="s">
        <v>932</v>
      </c>
      <c r="AJ190" s="76">
        <f>-10*LOG10(1-(0.3+K190/20))</f>
        <v>2.5963731050575611</v>
      </c>
      <c r="AK190" s="7">
        <f>IF(AI190="",0,IF(EXACT(RIGHT(AI190,2),"dB"),IF(ABS(ABS(VALUE(LEFT(AI190,FIND(" ",AI190,1))))-AJ190)&lt;=0.5,1,-1),-1))</f>
        <v>1</v>
      </c>
      <c r="AL190" s="36" t="s">
        <v>933</v>
      </c>
      <c r="AM190" s="35">
        <f>((0.16*(200+K190*10+L190)/(2+K190/10))-0.16*(200+K190*10+L190)/(6+L190/10))/10</f>
        <v>0.98666666666666702</v>
      </c>
      <c r="AN190" s="7">
        <v>-1</v>
      </c>
      <c r="AO190" s="34" t="s">
        <v>934</v>
      </c>
      <c r="AP190" s="35">
        <f>((0.16*(200+K190*10+L190)/(2+K190/10))-0.16*(200+K190*10+L190)/(6+L190/10))/(10+J190)</f>
        <v>0.75897435897435928</v>
      </c>
      <c r="AQ190" s="7">
        <f>IF(AO190="",0,IF(EXACT(RIGHT(AO190,2),"m2"),IF(ABS(VALUE(LEFT(AO190,FIND(" ",AO190,1)))-AP190)&lt;=0.05,1,-1),-1))</f>
        <v>-1</v>
      </c>
      <c r="AR190" s="48">
        <f>M190+P190+S190+V190+Y190+AB190+AE190+AH190+AK190+AN190+AQ190</f>
        <v>-1</v>
      </c>
    </row>
    <row r="191" spans="1:44" ht="12.75" x14ac:dyDescent="0.2">
      <c r="A191" s="32">
        <v>189</v>
      </c>
      <c r="B191" s="33">
        <v>41950.78330844907</v>
      </c>
      <c r="C191" s="34" t="s">
        <v>919</v>
      </c>
      <c r="D191" s="34" t="s">
        <v>920</v>
      </c>
      <c r="E191" s="17">
        <v>231997</v>
      </c>
      <c r="F191" s="6">
        <v>1</v>
      </c>
      <c r="G191" s="6">
        <f>INT(E191/100000)</f>
        <v>2</v>
      </c>
      <c r="H191" s="6">
        <f>INT(($E191-100000*G191)/10000)</f>
        <v>3</v>
      </c>
      <c r="I191" s="6">
        <f>INT(($E191-100000*G191-10000*H191)/1000)</f>
        <v>1</v>
      </c>
      <c r="J191" s="6">
        <f>INT(($E191-100000*$G191-10000*$H191-1000*$I191)/100)</f>
        <v>9</v>
      </c>
      <c r="K191" s="6">
        <f>INT(($E191-100000*$G191-10000*$H191-1000*$I191-100*$J191)/10)</f>
        <v>9</v>
      </c>
      <c r="L191" s="6">
        <f>INT(($E191-100000*$G191-10000*$H191-1000*$I191-100*$J191-10*$K191))</f>
        <v>7</v>
      </c>
      <c r="M191" s="7">
        <v>2</v>
      </c>
      <c r="N191" s="34" t="s">
        <v>921</v>
      </c>
      <c r="O191" s="76">
        <f>10*LOG10((10^((100+10*LOG10(1/(4*PI()*(3+J191/2)^2)))/10)+10^((100-3+10*LOG10(1/(4*PI()*(3+J191/2)^2)))/10))/10^((100+10*LOG10(4*(1+L191/10)/(0.16*(2000+K191*100))))/10))</f>
        <v>-8.3888846052036588</v>
      </c>
      <c r="P191" s="7">
        <f>IF(N191="",0,IF(EXACT(RIGHT(N191,2),"dB"),IF(ABS(VALUE(LEFT(N191,FIND(" ",N191,1)))-O191)&lt;=0.5,1,-1),-1))</f>
        <v>-1</v>
      </c>
      <c r="Q191" s="18"/>
      <c r="R191" s="35">
        <f>(10^((100-3+10*LOG10(1/(4*PI()*(3+J191/2)^2)))/10)*COS((90-(30+L191*6))/180*PI()))/(10^((100+10*LOG10(1/(4*PI()*(3+J191/2)^2)))/10)+10^((100-3+10*LOG10(1/(4*PI()*(3+J191/2)^2)))/10))</f>
        <v>0.31752027578427156</v>
      </c>
      <c r="S191" s="7">
        <f>IF(Q191="",0,IF(ABS(VALUE(Q191)-R191)&lt;=0.05,1,-1))</f>
        <v>0</v>
      </c>
      <c r="T191" s="18"/>
      <c r="U191" s="76">
        <f>10*LOG10(10^((100+10*LOG10(1/(4*PI()*(3+J191/2)^2)))/10)+10^((100-3+10*LOG10(1/(4*PI()*(3+J191/2)^2)))/10)+10^((100+10*LOG10(4*(1+L191/10)/(0.16*(2000+K191*100))))/10))-100+31</f>
        <v>13.247639493849789</v>
      </c>
      <c r="V191" s="7">
        <f>IF(T191="",0,IF(EXACT(RIGHT(T191,2),"dB"),IF(ABS(VALUE(LEFT(T191,FIND(" ",T191,1)))-U191)&lt;=0.5,1,-1),-1))</f>
        <v>0</v>
      </c>
      <c r="W191" s="58">
        <v>0.03</v>
      </c>
      <c r="X191" s="35">
        <f>(0.5+L191/20)/(1+10^(-(5+K191)/10))</f>
        <v>0.81745647170008351</v>
      </c>
      <c r="Y191" s="7">
        <f>IF(W191="",0,IF(ABS(VALUE(W191)-X191)&lt;=0.05,1,-1))</f>
        <v>-1</v>
      </c>
      <c r="Z191" s="34" t="s">
        <v>922</v>
      </c>
      <c r="AA191" s="76">
        <f>10*LOG10(1+((100+K191*10+L191)*(0.5+J191/20))/((0.1+J191/100)*(6*(5+L191/2)^2)))</f>
        <v>5.1484023831964194</v>
      </c>
      <c r="AB191" s="7">
        <f>IF(Z191="",0,IF(EXACT(RIGHT(Z191,2),"dB"),IF(ABS(VALUE(LEFT(Z191,FIND(" ",Z191,1)))-AA191)&lt;=0.5,1,-1),-1))</f>
        <v>-1</v>
      </c>
      <c r="AC191" s="34">
        <v>0.6</v>
      </c>
      <c r="AD191" s="35">
        <f>0.3+L191/30+0.1</f>
        <v>0.6333333333333333</v>
      </c>
      <c r="AE191" s="7">
        <f>IF(AC191="",0,IF(ABS(VALUE(AC191)-AD191)&lt;=0.05,1,-1))</f>
        <v>1</v>
      </c>
      <c r="AF191" s="18"/>
      <c r="AG191" s="35">
        <f>1-AD191</f>
        <v>0.3666666666666667</v>
      </c>
      <c r="AH191" s="7">
        <f>IF(AF191="",0,IF(ABS(VALUE(AF191)-AG191)&lt;=0.05,1,-1))</f>
        <v>0</v>
      </c>
      <c r="AI191" s="36">
        <v>0.4</v>
      </c>
      <c r="AJ191" s="76">
        <f>-10*LOG10(1-(0.3+K191/20))</f>
        <v>6.0205999132796242</v>
      </c>
      <c r="AK191" s="7">
        <f>IF(AI191="",0,IF(EXACT(RIGHT(AI191,2),"dB"),IF(ABS(ABS(VALUE(LEFT(AI191,FIND(" ",AI191,1))))-AJ191)&lt;=0.5,1,-1),-1))</f>
        <v>-1</v>
      </c>
      <c r="AL191" s="34">
        <v>1.37</v>
      </c>
      <c r="AM191" s="35">
        <f>((0.16*(200+K191*10+L191)/(2+K191/10))-0.16*(200+K191*10+L191)/(6+L191/10))/10</f>
        <v>0.92936695831188909</v>
      </c>
      <c r="AN191" s="7">
        <f>IF(AL191="",0,IF(ABS(VALUE(AL191)-AM191)&lt;=0.05,1,-1))</f>
        <v>-1</v>
      </c>
      <c r="AO191" s="36" t="s">
        <v>923</v>
      </c>
      <c r="AP191" s="35">
        <f>((0.16*(200+K191*10+L191)/(2+K191/10))-0.16*(200+K191*10+L191)/(6+L191/10))/(10+J191)</f>
        <v>0.48914050437467849</v>
      </c>
      <c r="AQ191" s="7">
        <f>IF(AO191="",0,IF(EXACT(RIGHT(AO191,2),"m2"),IF(ABS(VALUE(LEFT(AO191,FIND(" ",AO191,1)))-AP191)&lt;=0.05,1,-1),-1))</f>
        <v>-1</v>
      </c>
      <c r="AR191" s="48">
        <f>M191+P191+S191+V191+Y191+AB191+AE191+AH191+AK191+AN191+AQ191</f>
        <v>-3</v>
      </c>
    </row>
    <row r="192" spans="1:44" ht="13.5" thickBot="1" x14ac:dyDescent="0.25">
      <c r="A192" s="40">
        <v>190</v>
      </c>
      <c r="B192" s="41">
        <v>41951.731826979165</v>
      </c>
      <c r="C192" s="42"/>
      <c r="D192" s="66" t="s">
        <v>945</v>
      </c>
      <c r="E192" s="67">
        <v>258964</v>
      </c>
      <c r="F192" s="44">
        <v>1</v>
      </c>
      <c r="G192" s="44">
        <f>INT(E192/100000)</f>
        <v>2</v>
      </c>
      <c r="H192" s="44">
        <f>INT(($E192-100000*G192)/10000)</f>
        <v>5</v>
      </c>
      <c r="I192" s="44">
        <f>INT(($E192-100000*G192-10000*H192)/1000)</f>
        <v>8</v>
      </c>
      <c r="J192" s="44">
        <f>INT(($E192-100000*$G192-10000*$H192-1000*$I192)/100)</f>
        <v>9</v>
      </c>
      <c r="K192" s="44">
        <f>INT(($E192-100000*$G192-10000*$H192-1000*$I192-100*$J192)/10)</f>
        <v>6</v>
      </c>
      <c r="L192" s="44">
        <f>INT(($E192-100000*$G192-10000*$H192-1000*$I192-100*$J192-10*$K192))</f>
        <v>4</v>
      </c>
      <c r="M192" s="45">
        <v>0</v>
      </c>
      <c r="N192" s="68" t="s">
        <v>946</v>
      </c>
      <c r="O192" s="77">
        <f>10*LOG10((10^((100+10*LOG10(1/(4*PI()*(3+J192/2)^2)))/10)+10^((100-3+10*LOG10(1/(4*PI()*(3+J192/2)^2)))/10))/10^((100+10*LOG10(4*(1+L192/10)/(0.16*(2000+K192*100))))/10))</f>
        <v>-8.019922247484681</v>
      </c>
      <c r="P192" s="45">
        <f>IF(N192="",0,IF(EXACT(RIGHT(N192,2),"dB"),IF(ABS(VALUE(LEFT(N192,FIND(" ",N192,1)))-O192)&lt;=0.5,1,-1),-1))</f>
        <v>-1</v>
      </c>
      <c r="Q192" s="43">
        <v>3.0970000000000001E-2</v>
      </c>
      <c r="R192" s="46">
        <f>(10^((100-3+10*LOG10(1/(4*PI()*(3+J192/2)^2)))/10)*COS((90-(30+L192*6))/180*PI()))/(10^((100+10*LOG10(1/(4*PI()*(3+J192/2)^2)))/10)+10^((100-3+10*LOG10(1/(4*PI()*(3+J192/2)^2)))/10))</f>
        <v>0.27009887926405324</v>
      </c>
      <c r="S192" s="45">
        <f>IF(Q192="",0,IF(ABS(VALUE(Q192)-R192)&lt;=0.05,1,-1))</f>
        <v>-1</v>
      </c>
      <c r="T192" s="42"/>
      <c r="U192" s="77">
        <f>10*LOG10(10^((100+10*LOG10(1/(4*PI()*(3+J192/2)^2)))/10)+10^((100-3+10*LOG10(1/(4*PI()*(3+J192/2)^2)))/10)+10^((100+10*LOG10(4*(1+L192/10)/(0.16*(2000+K192*100))))/10))-100+31</f>
        <v>12.927147194624141</v>
      </c>
      <c r="V192" s="45">
        <f>IF(T192="",0,IF(EXACT(RIGHT(T192,2),"dB"),IF(ABS(VALUE(LEFT(T192,FIND(" ",T192,1)))-U192)&lt;=0.5,1,-1),-1))</f>
        <v>0</v>
      </c>
      <c r="W192" s="55">
        <v>0.28000000000000003</v>
      </c>
      <c r="X192" s="46">
        <f>(0.5+L192/20)/(1+10^(-(5+K192)/10))</f>
        <v>0.64848871071769842</v>
      </c>
      <c r="Y192" s="45">
        <f>IF(W192="",0,IF(ABS(VALUE(W192)-X192)&lt;=0.05,1,-1))</f>
        <v>-1</v>
      </c>
      <c r="Z192" s="42"/>
      <c r="AA192" s="77">
        <f>10*LOG10(1+((100+K192*10+L192)*(0.5+J192/20))/((0.1+J192/100)*(6*(5+L192/2)^2)))</f>
        <v>5.785378604255528</v>
      </c>
      <c r="AB192" s="45">
        <f>IF(Z192="",0,IF(EXACT(RIGHT(Z192,2),"dB"),IF(ABS(VALUE(LEFT(Z192,FIND(" ",Z192,1)))-AA192)&lt;=0.5,1,-1),-1))</f>
        <v>0</v>
      </c>
      <c r="AC192" s="42"/>
      <c r="AD192" s="46">
        <f>0.3+L192/30+0.1</f>
        <v>0.53333333333333333</v>
      </c>
      <c r="AE192" s="45">
        <f>IF(AC192="",0,IF(ABS(VALUE(AC192)-AD192)&lt;=0.05,1,-1))</f>
        <v>0</v>
      </c>
      <c r="AF192" s="42"/>
      <c r="AG192" s="46">
        <f>1-AD192</f>
        <v>0.46666666666666667</v>
      </c>
      <c r="AH192" s="45">
        <f>IF(AF192="",0,IF(ABS(VALUE(AF192)-AG192)&lt;=0.05,1,-1))</f>
        <v>0</v>
      </c>
      <c r="AI192" s="42"/>
      <c r="AJ192" s="77">
        <f>-10*LOG10(1-(0.3+K192/20))</f>
        <v>3.9794000867203758</v>
      </c>
      <c r="AK192" s="45">
        <f>IF(AI192="",0,IF(EXACT(RIGHT(AI192,2),"dB"),IF(ABS(ABS(VALUE(LEFT(AI192,FIND(" ",AI192,1))))-AJ192)&lt;=0.5,1,-1),-1))</f>
        <v>0</v>
      </c>
      <c r="AL192" s="42"/>
      <c r="AM192" s="46">
        <f>((0.16*(200+K192*10+L192)/(2+K192/10))-0.16*(200+K192*10+L192)/(6+L192/10))/10</f>
        <v>0.96461538461538454</v>
      </c>
      <c r="AN192" s="45">
        <f>IF(AL192="",0,IF(ABS(VALUE(AL192)-AM192)&lt;=0.05,1,-1))</f>
        <v>0</v>
      </c>
      <c r="AO192" s="42"/>
      <c r="AP192" s="46">
        <f>((0.16*(200+K192*10+L192)/(2+K192/10))-0.16*(200+K192*10+L192)/(6+L192/10))/(10+J192)</f>
        <v>0.50769230769230766</v>
      </c>
      <c r="AQ192" s="45">
        <f>IF(AO192="",0,IF(EXACT(RIGHT(AO192,2),"m2"),IF(ABS(VALUE(LEFT(AO192,FIND(" ",AO192,1)))-AP192)&lt;=0.05,1,-1),-1))</f>
        <v>0</v>
      </c>
      <c r="AR192" s="49">
        <f>M192+P192+S192+V192+Y192+AB192+AE192+AH192+AK192+AN192+AQ192</f>
        <v>-3</v>
      </c>
    </row>
    <row r="194" spans="2:11" ht="15.75" customHeight="1" x14ac:dyDescent="0.2">
      <c r="B194" s="3" t="s">
        <v>957</v>
      </c>
      <c r="C194" s="2"/>
      <c r="D194" s="2"/>
    </row>
    <row r="195" spans="2:11" ht="15.75" customHeight="1" x14ac:dyDescent="0.2">
      <c r="B195" s="53" t="s">
        <v>958</v>
      </c>
      <c r="C195" s="54"/>
      <c r="D195" s="54"/>
      <c r="E195" s="54"/>
      <c r="F195" s="54"/>
      <c r="G195" s="54"/>
      <c r="H195" s="54"/>
      <c r="I195" s="54"/>
      <c r="J195" s="54"/>
      <c r="K195" s="54"/>
    </row>
    <row r="196" spans="2:11" ht="15.75" customHeight="1" x14ac:dyDescent="0.2">
      <c r="B196" s="11" t="s">
        <v>960</v>
      </c>
      <c r="C196" s="12"/>
      <c r="D196" s="13"/>
      <c r="E196" s="13"/>
      <c r="F196" s="12"/>
      <c r="G196" s="12"/>
      <c r="H196" s="12"/>
      <c r="I196" s="12"/>
      <c r="J196" s="12"/>
      <c r="K196" s="12"/>
    </row>
    <row r="197" spans="2:11" ht="15.75" customHeight="1" x14ac:dyDescent="0.2">
      <c r="B197" s="9" t="s">
        <v>959</v>
      </c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2:11" ht="15.75" customHeight="1" x14ac:dyDescent="0.2">
      <c r="B198" s="71" t="s">
        <v>1047</v>
      </c>
      <c r="C198" s="72"/>
      <c r="D198" s="72"/>
      <c r="E198" s="70"/>
      <c r="F198" s="70"/>
      <c r="G198" s="70"/>
      <c r="H198" s="70"/>
      <c r="I198" s="70"/>
      <c r="J198" s="70"/>
      <c r="K198" s="70"/>
    </row>
  </sheetData>
  <sortState ref="B3:AR192">
    <sortCondition descending="1" ref="AR3:AR192"/>
  </sortState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zoomScale="200" zoomScaleNormal="200" workbookViewId="0">
      <selection sqref="A1:K2"/>
    </sheetView>
  </sheetViews>
  <sheetFormatPr defaultRowHeight="12.75" x14ac:dyDescent="0.2"/>
  <sheetData>
    <row r="1" spans="1:12" x14ac:dyDescent="0.2">
      <c r="A1" s="1" t="s">
        <v>975</v>
      </c>
      <c r="D1" s="22" t="s">
        <v>1010</v>
      </c>
      <c r="F1" s="28" t="s">
        <v>950</v>
      </c>
      <c r="G1" s="28" t="s">
        <v>951</v>
      </c>
      <c r="H1" s="28" t="s">
        <v>952</v>
      </c>
      <c r="I1" s="28" t="s">
        <v>953</v>
      </c>
      <c r="J1" s="28" t="s">
        <v>954</v>
      </c>
      <c r="K1" s="28" t="s">
        <v>955</v>
      </c>
    </row>
    <row r="2" spans="1:12" x14ac:dyDescent="0.2">
      <c r="A2" s="1"/>
      <c r="D2" s="22"/>
      <c r="F2" s="28">
        <v>2</v>
      </c>
      <c r="G2" s="28">
        <v>4</v>
      </c>
      <c r="H2" s="28">
        <v>2</v>
      </c>
      <c r="I2" s="28">
        <v>6</v>
      </c>
      <c r="J2" s="28">
        <v>6</v>
      </c>
      <c r="K2" s="28">
        <v>2</v>
      </c>
    </row>
    <row r="4" spans="1:12" ht="78.75" customHeight="1" x14ac:dyDescent="0.2">
      <c r="A4" s="64" t="s">
        <v>965</v>
      </c>
      <c r="B4" s="65"/>
      <c r="C4" s="65"/>
      <c r="D4" s="65"/>
      <c r="E4" s="65"/>
      <c r="F4" s="65"/>
      <c r="G4" s="65"/>
      <c r="H4" s="65"/>
    </row>
    <row r="5" spans="1:12" ht="15.75" x14ac:dyDescent="0.2">
      <c r="A5" s="19" t="s">
        <v>976</v>
      </c>
      <c r="B5">
        <v>100</v>
      </c>
      <c r="C5" s="22" t="s">
        <v>977</v>
      </c>
      <c r="D5" s="22" t="s">
        <v>978</v>
      </c>
      <c r="E5">
        <f>3+DD/2</f>
        <v>6</v>
      </c>
      <c r="F5" s="22" t="s">
        <v>979</v>
      </c>
      <c r="G5" s="22" t="s">
        <v>980</v>
      </c>
      <c r="H5">
        <f>1+FF/10</f>
        <v>1.2</v>
      </c>
      <c r="I5" s="22" t="s">
        <v>981</v>
      </c>
      <c r="J5" s="22" t="s">
        <v>982</v>
      </c>
      <c r="K5">
        <f>2000+EE*100</f>
        <v>2600</v>
      </c>
      <c r="L5" s="22" t="s">
        <v>983</v>
      </c>
    </row>
    <row r="6" spans="1:12" x14ac:dyDescent="0.2">
      <c r="A6" s="61" t="s">
        <v>984</v>
      </c>
      <c r="B6" s="62">
        <f>Lw+10*LOG10(1/(4*PI()*d^2))</f>
        <v>73.444876352106164</v>
      </c>
      <c r="C6" s="63" t="s">
        <v>977</v>
      </c>
      <c r="D6" s="63" t="s">
        <v>985</v>
      </c>
      <c r="E6" s="62">
        <f>B6-3</f>
        <v>70.444876352106164</v>
      </c>
      <c r="F6" s="63" t="s">
        <v>977</v>
      </c>
      <c r="G6" s="63" t="s">
        <v>986</v>
      </c>
      <c r="H6" s="62">
        <f>Lw+10*LOG10(4*T/(0.16*V))</f>
        <v>80.621479067488451</v>
      </c>
      <c r="I6" s="63" t="s">
        <v>977</v>
      </c>
      <c r="J6" s="1" t="s">
        <v>987</v>
      </c>
      <c r="K6" s="1">
        <f>10*LOG10((10^(Ldir/10)+10^(Lrif/10))/10^(Lrev/10))</f>
        <v>-5.4122540910174308</v>
      </c>
      <c r="L6" s="1" t="s">
        <v>977</v>
      </c>
    </row>
    <row r="7" spans="1:12" x14ac:dyDescent="0.2">
      <c r="A7" s="20"/>
      <c r="C7" s="22"/>
      <c r="D7" s="22"/>
      <c r="F7" s="22"/>
      <c r="G7" s="22"/>
      <c r="I7" s="22"/>
      <c r="J7" s="1"/>
      <c r="K7" s="1"/>
      <c r="L7" s="1"/>
    </row>
    <row r="8" spans="1:12" ht="69" customHeight="1" x14ac:dyDescent="0.2">
      <c r="A8" s="64" t="s">
        <v>966</v>
      </c>
      <c r="B8" s="65"/>
      <c r="C8" s="65"/>
      <c r="D8" s="65"/>
      <c r="E8" s="65"/>
      <c r="F8" s="65"/>
      <c r="G8" s="65"/>
      <c r="H8" s="65"/>
    </row>
    <row r="9" spans="1:12" x14ac:dyDescent="0.2">
      <c r="A9" s="20" t="s">
        <v>988</v>
      </c>
      <c r="B9">
        <f>30+FF*6</f>
        <v>42</v>
      </c>
      <c r="C9" s="22" t="s">
        <v>989</v>
      </c>
      <c r="D9" s="1" t="s">
        <v>990</v>
      </c>
      <c r="E9" s="1">
        <f>(10^(Lrif/10)*COS((90-B9)/180*PI()))/(10^(Ldir/10)+10^(Lrif/10))</f>
        <v>0.22339632926801328</v>
      </c>
    </row>
    <row r="10" spans="1:12" ht="15.75" x14ac:dyDescent="0.2">
      <c r="A10" s="19" t="s">
        <v>967</v>
      </c>
    </row>
    <row r="11" spans="1:12" ht="32.25" customHeight="1" x14ac:dyDescent="0.2">
      <c r="A11" s="19" t="s">
        <v>968</v>
      </c>
    </row>
    <row r="12" spans="1:12" x14ac:dyDescent="0.2">
      <c r="A12" s="20" t="s">
        <v>991</v>
      </c>
      <c r="B12">
        <f>10*LOG10(10^(Ldir/10)+10^(Lrif/10)+10^(Lrev/10))</f>
        <v>81.719256827888401</v>
      </c>
      <c r="C12" s="22" t="s">
        <v>977</v>
      </c>
      <c r="D12" s="1" t="s">
        <v>992</v>
      </c>
      <c r="E12" s="1">
        <f>SPL-Lw+31</f>
        <v>12.719256827888401</v>
      </c>
      <c r="F12" s="1" t="s">
        <v>977</v>
      </c>
    </row>
    <row r="13" spans="1:12" ht="15.75" x14ac:dyDescent="0.2">
      <c r="A13" s="19" t="s">
        <v>967</v>
      </c>
    </row>
    <row r="14" spans="1:12" ht="58.5" customHeight="1" x14ac:dyDescent="0.2">
      <c r="A14" s="64" t="s">
        <v>969</v>
      </c>
      <c r="B14" s="65"/>
      <c r="C14" s="65"/>
      <c r="D14" s="65"/>
      <c r="E14" s="65"/>
      <c r="F14" s="65"/>
      <c r="G14" s="65"/>
      <c r="H14" s="65"/>
      <c r="I14" s="21"/>
    </row>
    <row r="15" spans="1:12" x14ac:dyDescent="0.2">
      <c r="A15" s="20" t="s">
        <v>993</v>
      </c>
      <c r="B15">
        <f>0.5+FF/20</f>
        <v>0.6</v>
      </c>
      <c r="D15" s="22" t="s">
        <v>995</v>
      </c>
      <c r="E15">
        <f>5+EE</f>
        <v>11</v>
      </c>
      <c r="F15" s="22" t="s">
        <v>977</v>
      </c>
      <c r="G15" s="1" t="s">
        <v>994</v>
      </c>
      <c r="H15" s="1">
        <f>MTF/(1+10^(-SN/10))</f>
        <v>0.55584746632945581</v>
      </c>
    </row>
    <row r="16" spans="1:12" ht="15.75" x14ac:dyDescent="0.2">
      <c r="A16" s="19" t="s">
        <v>967</v>
      </c>
    </row>
    <row r="17" spans="1:12" ht="81" customHeight="1" x14ac:dyDescent="0.2">
      <c r="A17" s="64" t="s">
        <v>970</v>
      </c>
      <c r="B17" s="65"/>
      <c r="C17" s="65"/>
      <c r="D17" s="65"/>
      <c r="E17" s="65"/>
      <c r="F17" s="65"/>
      <c r="G17" s="65"/>
      <c r="H17" s="65"/>
      <c r="J17" s="26" t="s">
        <v>1011</v>
      </c>
    </row>
    <row r="18" spans="1:12" ht="15.75" x14ac:dyDescent="0.2">
      <c r="A18" s="19" t="s">
        <v>997</v>
      </c>
      <c r="B18">
        <f>0.1+DD/100</f>
        <v>0.16</v>
      </c>
      <c r="D18" s="22" t="s">
        <v>998</v>
      </c>
      <c r="E18">
        <f>6*(5+FF/2)^2</f>
        <v>216</v>
      </c>
      <c r="F18" s="22" t="s">
        <v>999</v>
      </c>
      <c r="G18" s="22" t="s">
        <v>996</v>
      </c>
      <c r="H18">
        <f>Alfa*S</f>
        <v>34.56</v>
      </c>
      <c r="I18" s="22" t="s">
        <v>999</v>
      </c>
    </row>
    <row r="19" spans="1:12" ht="15.75" x14ac:dyDescent="0.2">
      <c r="A19" s="19" t="s">
        <v>1000</v>
      </c>
      <c r="B19">
        <f>100+EE*10+FF</f>
        <v>162</v>
      </c>
      <c r="D19" s="22" t="s">
        <v>1001</v>
      </c>
      <c r="E19">
        <f>0.5+DD/20</f>
        <v>0.8</v>
      </c>
      <c r="F19" s="22" t="s">
        <v>999</v>
      </c>
      <c r="G19" s="22" t="s">
        <v>1002</v>
      </c>
      <c r="H19">
        <f>H18+N*A</f>
        <v>164.16</v>
      </c>
      <c r="I19" s="22" t="s">
        <v>999</v>
      </c>
      <c r="J19" s="1" t="s">
        <v>1003</v>
      </c>
      <c r="K19" s="1">
        <f>10*LOG10(1+(N*A)/(Alfa*S))</f>
        <v>6.7669360962486653</v>
      </c>
      <c r="L19" s="1" t="s">
        <v>977</v>
      </c>
    </row>
    <row r="20" spans="1:12" x14ac:dyDescent="0.2">
      <c r="A20" s="20"/>
      <c r="D20" s="22" t="s">
        <v>1045</v>
      </c>
      <c r="E20">
        <f>5+FF/2</f>
        <v>6</v>
      </c>
    </row>
    <row r="21" spans="1:12" ht="46.5" customHeight="1" x14ac:dyDescent="0.2">
      <c r="A21" s="64" t="s">
        <v>971</v>
      </c>
      <c r="B21" s="65"/>
      <c r="C21" s="65"/>
      <c r="D21" s="65"/>
      <c r="E21" s="65"/>
      <c r="F21" s="65"/>
      <c r="G21" s="65"/>
      <c r="H21" s="65"/>
      <c r="J21" s="24" t="s">
        <v>1006</v>
      </c>
    </row>
    <row r="22" spans="1:12" ht="15.75" x14ac:dyDescent="0.2">
      <c r="A22" s="22" t="s">
        <v>1005</v>
      </c>
      <c r="B22">
        <f>0.3+FF/30</f>
        <v>0.36666666666666664</v>
      </c>
      <c r="D22" s="22" t="s">
        <v>1004</v>
      </c>
      <c r="E22">
        <v>0.1</v>
      </c>
      <c r="G22" s="23" t="s">
        <v>997</v>
      </c>
      <c r="H22" s="1">
        <f>B22+E22</f>
        <v>0.46666666666666667</v>
      </c>
    </row>
    <row r="23" spans="1:12" x14ac:dyDescent="0.2">
      <c r="A23" s="20"/>
    </row>
    <row r="24" spans="1:12" ht="23.25" x14ac:dyDescent="0.2">
      <c r="A24" s="19" t="s">
        <v>972</v>
      </c>
      <c r="J24" s="24" t="s">
        <v>1008</v>
      </c>
    </row>
    <row r="25" spans="1:12" x14ac:dyDescent="0.2">
      <c r="A25" s="25" t="s">
        <v>1007</v>
      </c>
      <c r="B25" s="1">
        <f>1-H22</f>
        <v>0.53333333333333333</v>
      </c>
    </row>
    <row r="26" spans="1:12" ht="15.75" x14ac:dyDescent="0.2">
      <c r="A26" s="19" t="s">
        <v>967</v>
      </c>
    </row>
    <row r="27" spans="1:12" ht="33" customHeight="1" x14ac:dyDescent="0.2">
      <c r="A27" s="64" t="s">
        <v>973</v>
      </c>
      <c r="B27" s="65"/>
      <c r="C27" s="65"/>
      <c r="D27" s="65"/>
      <c r="E27" s="65"/>
      <c r="F27" s="65"/>
      <c r="G27" s="65"/>
      <c r="H27" s="65"/>
      <c r="J27" s="24" t="s">
        <v>1009</v>
      </c>
    </row>
    <row r="28" spans="1:12" ht="15.75" x14ac:dyDescent="0.2">
      <c r="A28" s="19" t="s">
        <v>997</v>
      </c>
      <c r="B28">
        <f>0.3+EE/20</f>
        <v>0.6</v>
      </c>
      <c r="D28" s="22" t="s">
        <v>1003</v>
      </c>
      <c r="E28">
        <f>-10*LOG10(1-B28)</f>
        <v>3.9794000867203758</v>
      </c>
      <c r="F28" t="s">
        <v>977</v>
      </c>
    </row>
    <row r="29" spans="1:12" x14ac:dyDescent="0.2">
      <c r="A29" s="20"/>
    </row>
    <row r="30" spans="1:12" ht="69" customHeight="1" x14ac:dyDescent="0.2">
      <c r="A30" s="64" t="s">
        <v>1046</v>
      </c>
      <c r="B30" s="65"/>
      <c r="C30" s="65"/>
      <c r="D30" s="65"/>
      <c r="E30" s="65"/>
      <c r="F30" s="65"/>
      <c r="G30" s="65"/>
      <c r="H30" s="65"/>
      <c r="J30" s="24" t="s">
        <v>1014</v>
      </c>
    </row>
    <row r="31" spans="1:12" ht="15.75" x14ac:dyDescent="0.2">
      <c r="A31" s="19" t="s">
        <v>982</v>
      </c>
      <c r="B31">
        <f>200+EE*10+FF</f>
        <v>262</v>
      </c>
      <c r="C31" s="22" t="s">
        <v>983</v>
      </c>
      <c r="D31" s="22" t="s">
        <v>1012</v>
      </c>
      <c r="E31">
        <f>6+FF/10</f>
        <v>6.2</v>
      </c>
      <c r="F31" s="22" t="s">
        <v>981</v>
      </c>
      <c r="G31" s="22" t="s">
        <v>1013</v>
      </c>
      <c r="H31">
        <f>2+EE/10</f>
        <v>2.6</v>
      </c>
      <c r="I31" s="22" t="s">
        <v>981</v>
      </c>
    </row>
    <row r="32" spans="1:12" ht="15.75" x14ac:dyDescent="0.2">
      <c r="A32" s="20"/>
      <c r="D32" s="22" t="s">
        <v>996</v>
      </c>
      <c r="E32">
        <f>0.16*VV/T_1</f>
        <v>6.7612903225806456</v>
      </c>
      <c r="F32" s="22" t="s">
        <v>999</v>
      </c>
      <c r="G32" s="22" t="s">
        <v>1002</v>
      </c>
      <c r="H32">
        <f>0.16*VV/T_2</f>
        <v>16.123076923076923</v>
      </c>
      <c r="I32" s="22" t="s">
        <v>999</v>
      </c>
      <c r="J32" s="23" t="s">
        <v>997</v>
      </c>
      <c r="K32" s="1">
        <f>((0.16*VV/T_2)-0.16*VV/T_1)/10</f>
        <v>0.93617866004962769</v>
      </c>
    </row>
    <row r="33" spans="1:11" ht="15.75" x14ac:dyDescent="0.2">
      <c r="A33" s="20"/>
      <c r="D33" s="22"/>
      <c r="F33" s="22"/>
      <c r="G33" s="22"/>
      <c r="I33" s="22"/>
      <c r="J33" s="23"/>
      <c r="K33" s="1"/>
    </row>
    <row r="34" spans="1:11" ht="56.25" customHeight="1" x14ac:dyDescent="0.2">
      <c r="A34" s="64" t="s">
        <v>974</v>
      </c>
      <c r="B34" s="65"/>
      <c r="C34" s="65"/>
      <c r="D34" s="65"/>
      <c r="E34" s="65"/>
      <c r="F34" s="65"/>
      <c r="G34" s="65"/>
      <c r="H34" s="65"/>
      <c r="J34" s="24" t="s">
        <v>1017</v>
      </c>
    </row>
    <row r="35" spans="1:11" x14ac:dyDescent="0.2">
      <c r="A35" s="27" t="s">
        <v>1015</v>
      </c>
      <c r="B35">
        <f>10+DD</f>
        <v>16</v>
      </c>
      <c r="D35" s="1" t="s">
        <v>1016</v>
      </c>
      <c r="E35" s="1">
        <f>(A_2-A_1)/Nseats</f>
        <v>0.58511166253101732</v>
      </c>
      <c r="F35" s="1" t="s">
        <v>999</v>
      </c>
    </row>
  </sheetData>
  <mergeCells count="8">
    <mergeCell ref="A27:H27"/>
    <mergeCell ref="A30:H30"/>
    <mergeCell ref="A34:H34"/>
    <mergeCell ref="A4:H4"/>
    <mergeCell ref="A8:H8"/>
    <mergeCell ref="A14:H14"/>
    <mergeCell ref="A17:H17"/>
    <mergeCell ref="A21:H21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2059" r:id="rId4">
          <objectPr defaultSize="0" autoPict="0" r:id="rId5">
            <anchor moveWithCells="1">
              <from>
                <xdr:col>8</xdr:col>
                <xdr:colOff>38100</xdr:colOff>
                <xdr:row>3</xdr:row>
                <xdr:rowOff>28575</xdr:rowOff>
              </from>
              <to>
                <xdr:col>10</xdr:col>
                <xdr:colOff>390525</xdr:colOff>
                <xdr:row>3</xdr:row>
                <xdr:rowOff>962025</xdr:rowOff>
              </to>
            </anchor>
          </objectPr>
        </oleObject>
      </mc:Choice>
      <mc:Fallback>
        <oleObject progId="Equation.3" shapeId="2059" r:id="rId4"/>
      </mc:Fallback>
    </mc:AlternateContent>
    <mc:AlternateContent xmlns:mc="http://schemas.openxmlformats.org/markup-compatibility/2006">
      <mc:Choice Requires="x14">
        <oleObject progId="Equation.3" shapeId="2060" r:id="rId6">
          <objectPr defaultSize="0" autoPict="0" r:id="rId7">
            <anchor moveWithCells="1">
              <from>
                <xdr:col>8</xdr:col>
                <xdr:colOff>133350</xdr:colOff>
                <xdr:row>10</xdr:row>
                <xdr:rowOff>47625</xdr:rowOff>
              </from>
              <to>
                <xdr:col>12</xdr:col>
                <xdr:colOff>209550</xdr:colOff>
                <xdr:row>10</xdr:row>
                <xdr:rowOff>390525</xdr:rowOff>
              </to>
            </anchor>
          </objectPr>
        </oleObject>
      </mc:Choice>
      <mc:Fallback>
        <oleObject progId="Equation.3" shapeId="2060" r:id="rId6"/>
      </mc:Fallback>
    </mc:AlternateContent>
    <mc:AlternateContent xmlns:mc="http://schemas.openxmlformats.org/markup-compatibility/2006">
      <mc:Choice Requires="x14">
        <oleObject progId="Equation.3" shapeId="2061" r:id="rId8">
          <objectPr defaultSize="0" autoPict="0" r:id="rId9">
            <anchor moveWithCells="1">
              <from>
                <xdr:col>8</xdr:col>
                <xdr:colOff>0</xdr:colOff>
                <xdr:row>7</xdr:row>
                <xdr:rowOff>19050</xdr:rowOff>
              </from>
              <to>
                <xdr:col>10</xdr:col>
                <xdr:colOff>276225</xdr:colOff>
                <xdr:row>9</xdr:row>
                <xdr:rowOff>85725</xdr:rowOff>
              </to>
            </anchor>
          </objectPr>
        </oleObject>
      </mc:Choice>
      <mc:Fallback>
        <oleObject progId="Equation.3" shapeId="2061" r:id="rId8"/>
      </mc:Fallback>
    </mc:AlternateContent>
    <mc:AlternateContent xmlns:mc="http://schemas.openxmlformats.org/markup-compatibility/2006">
      <mc:Choice Requires="x14">
        <oleObject progId="Equation.3" shapeId="2062" r:id="rId10">
          <objectPr defaultSize="0" autoPict="0" r:id="rId11">
            <anchor moveWithCells="1">
              <from>
                <xdr:col>8</xdr:col>
                <xdr:colOff>0</xdr:colOff>
                <xdr:row>13</xdr:row>
                <xdr:rowOff>0</xdr:rowOff>
              </from>
              <to>
                <xdr:col>11</xdr:col>
                <xdr:colOff>352425</xdr:colOff>
                <xdr:row>13</xdr:row>
                <xdr:rowOff>666750</xdr:rowOff>
              </to>
            </anchor>
          </objectPr>
        </oleObject>
      </mc:Choice>
      <mc:Fallback>
        <oleObject progId="Equation.3" shapeId="2062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26</vt:i4>
      </vt:variant>
    </vt:vector>
  </HeadingPairs>
  <TitlesOfParts>
    <vt:vector size="28" baseType="lpstr">
      <vt:lpstr>2014-11-07</vt:lpstr>
      <vt:lpstr>Correction</vt:lpstr>
      <vt:lpstr>A</vt:lpstr>
      <vt:lpstr>A_1</vt:lpstr>
      <vt:lpstr>A_2</vt:lpstr>
      <vt:lpstr>AA</vt:lpstr>
      <vt:lpstr>Alfa</vt:lpstr>
      <vt:lpstr>BB</vt:lpstr>
      <vt:lpstr>CC</vt:lpstr>
      <vt:lpstr>d</vt:lpstr>
      <vt:lpstr>DD</vt:lpstr>
      <vt:lpstr>EE</vt:lpstr>
      <vt:lpstr>FF</vt:lpstr>
      <vt:lpstr>Ldir</vt:lpstr>
      <vt:lpstr>Lrev</vt:lpstr>
      <vt:lpstr>Lrif</vt:lpstr>
      <vt:lpstr>Lw</vt:lpstr>
      <vt:lpstr>MTF</vt:lpstr>
      <vt:lpstr>N</vt:lpstr>
      <vt:lpstr>Nseats</vt:lpstr>
      <vt:lpstr>S</vt:lpstr>
      <vt:lpstr>SN</vt:lpstr>
      <vt:lpstr>SPL</vt:lpstr>
      <vt:lpstr>T</vt:lpstr>
      <vt:lpstr>T_1</vt:lpstr>
      <vt:lpstr>T_2</vt:lpstr>
      <vt:lpstr>V</vt:lpstr>
      <vt:lpstr>VV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Farina</cp:lastModifiedBy>
  <dcterms:modified xsi:type="dcterms:W3CDTF">2014-11-15T15:52:24Z</dcterms:modified>
</cp:coreProperties>
</file>