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85" yWindow="2370" windowWidth="11910" windowHeight="3795" activeTab="0"/>
  </bookViews>
  <sheets>
    <sheet name="Principale" sheetId="1" r:id="rId1"/>
    <sheet name="Calcoli" sheetId="2" r:id="rId2"/>
  </sheets>
  <externalReferences>
    <externalReference r:id="rId5"/>
  </externalReferences>
  <definedNames>
    <definedName name="_Cir1">'Calcoli'!#REF!</definedName>
    <definedName name="_Cir2">#REF!</definedName>
    <definedName name="_Cir3">#REF!</definedName>
    <definedName name="_Cir4">#REF!</definedName>
    <definedName name="_Cir5">#REF!</definedName>
    <definedName name="_Cir6">#REF!</definedName>
    <definedName name="_Crr2">#REF!</definedName>
    <definedName name="_Crr3">#REF!</definedName>
    <definedName name="_Crr4">#REF!</definedName>
    <definedName name="_Lam1">#REF!</definedName>
    <definedName name="_Lam2">#REF!</definedName>
    <definedName name="_Lam3">#REF!</definedName>
    <definedName name="_Lam4">#REF!</definedName>
    <definedName name="_Lam5">#REF!</definedName>
    <definedName name="_Lam6">#REF!</definedName>
    <definedName name="_LL1">'Calcoli'!#REF!</definedName>
    <definedName name="_Lp1">'Calcoli'!#REF!</definedName>
    <definedName name="_Lp2">'Calcoli'!#REF!</definedName>
    <definedName name="_MA1">'Calcoli'!#REF!</definedName>
    <definedName name="_MA2">'Calcoli'!#REF!</definedName>
    <definedName name="_Ni1">#REF!</definedName>
    <definedName name="_Ni2">#REF!</definedName>
    <definedName name="_Ni3">#REF!</definedName>
    <definedName name="_Ni4">#REF!</definedName>
    <definedName name="_Ni5">#REF!</definedName>
    <definedName name="_Ni6">#REF!</definedName>
    <definedName name="_Phi1">'Calcoli'!#REF!</definedName>
    <definedName name="_Phi2">'Calcoli'!#REF!</definedName>
    <definedName name="_Pr1">#REF!</definedName>
    <definedName name="_Pr2">#REF!</definedName>
    <definedName name="_Pr3">#REF!</definedName>
    <definedName name="_Pr4">#REF!</definedName>
    <definedName name="_Pr5">#REF!</definedName>
    <definedName name="_Pr6">#REF!</definedName>
    <definedName name="_Ps1">#REF!</definedName>
    <definedName name="_Ps2">#REF!</definedName>
    <definedName name="_Re1">'Calcoli'!#REF!</definedName>
    <definedName name="_Re2">'Calcoli'!#REF!</definedName>
    <definedName name="_Re3">'Calcoli'!#REF!</definedName>
    <definedName name="_Re4">'Calcoli'!#REF!</definedName>
    <definedName name="_Re5">'Calcoli'!#REF!</definedName>
    <definedName name="_RT1">'Calcoli'!#REF!</definedName>
    <definedName name="_RT2">'Calcoli'!#REF!</definedName>
    <definedName name="_Tit1">'Calcoli'!#REF!</definedName>
    <definedName name="_TT1">'Calcoli'!#REF!</definedName>
    <definedName name="_TT2">'Calcoli'!#REF!</definedName>
    <definedName name="_UU1">'Calcoli'!#REF!</definedName>
    <definedName name="_UU2">'Calcoli'!#REF!</definedName>
    <definedName name="_UU3">'Calcoli'!#REF!</definedName>
    <definedName name="_UU4">'Calcoli'!#REF!</definedName>
    <definedName name="_UU5">'Calcoli'!#REF!</definedName>
    <definedName name="_Vol2">'Calcoli'!#REF!</definedName>
    <definedName name="_xx1">'Calcoli'!#REF!</definedName>
    <definedName name="_xx2">'Calcoli'!#REF!</definedName>
    <definedName name="A">'Calcoli'!$B$3</definedName>
    <definedName name="AB">'Calcoli'!$E$3</definedName>
    <definedName name="B">'Calcoli'!$B$4</definedName>
    <definedName name="CC">'Calcoli'!$B$5</definedName>
    <definedName name="CD">'Calcoli'!$E$4</definedName>
    <definedName name="cpa">'Calcoli'!#REF!</definedName>
    <definedName name="cvn">'Calcoli'!#REF!</definedName>
    <definedName name="cvo">'Calcoli'!#REF!</definedName>
    <definedName name="czero">'Calcoli'!#REF!</definedName>
    <definedName name="D">'Calcoli'!$B$6</definedName>
    <definedName name="d_1">'Calcoli'!$E$27</definedName>
    <definedName name="d_2">'Calcoli'!$H$27</definedName>
    <definedName name="dd">'Calcoli'!#REF!</definedName>
    <definedName name="delta">'Calcoli'!$B$31</definedName>
    <definedName name="Deltap">'Calcoli'!#REF!</definedName>
    <definedName name="DeltaV">'Calcoli'!#REF!</definedName>
    <definedName name="Diam">'Calcoli'!#REF!</definedName>
    <definedName name="Diam1">'Calcoli'!#REF!</definedName>
    <definedName name="Diam2">'Calcoli'!#REF!</definedName>
    <definedName name="Dp">'Calcoli'!#REF!</definedName>
    <definedName name="dtot">'Calcoli'!$B$27</definedName>
    <definedName name="E">'Calcoli'!$B$7</definedName>
    <definedName name="EF">'Calcoli'!$E$5</definedName>
    <definedName name="F">'Calcoli'!$B$8</definedName>
    <definedName name="freq">'Calcoli'!$E$29</definedName>
    <definedName name="hconv">'Calcoli'!#REF!</definedName>
    <definedName name="I">'Calcoli'!#REF!</definedName>
    <definedName name="Ktot">'Calcoli'!#REF!</definedName>
    <definedName name="L">'Calcoli'!#REF!</definedName>
    <definedName name="lambda1">'Calcoli'!#REF!</definedName>
    <definedName name="lambda2">'Calcoli'!#REF!</definedName>
    <definedName name="lambda3">'Calcoli'!#REF!</definedName>
    <definedName name="Ldir">'Calcoli'!#REF!</definedName>
    <definedName name="Lep">'Calcoli'!#REF!</definedName>
    <definedName name="Leq">'Calcoli'!#REF!</definedName>
    <definedName name="LProsa">'Calcoli'!#REF!</definedName>
    <definedName name="Lw">'Calcoli'!#REF!</definedName>
    <definedName name="Lw1m">#REF!</definedName>
    <definedName name="Ma">'Calcoli'!#REF!</definedName>
    <definedName name="Mavio">'Calcoli'!#REF!</definedName>
    <definedName name="Mn">'Calcoli'!#REF!</definedName>
    <definedName name="Mo">'Calcoli'!#REF!</definedName>
    <definedName name="Mtot">'Calcoli'!#REF!</definedName>
    <definedName name="mu">'Calcoli'!#REF!</definedName>
    <definedName name="N">'Calcoli'!$E$31</definedName>
    <definedName name="Niacqua">'Calcoli'!#REF!</definedName>
    <definedName name="niaria">#REF!</definedName>
    <definedName name="Nices">#REF!</definedName>
    <definedName name="p">'Calcoli'!#REF!</definedName>
    <definedName name="Phifin">'Calcoli'!#REF!</definedName>
    <definedName name="pmax">'Calcoli'!$E$21</definedName>
    <definedName name="pmin">'Calcoli'!$E$20</definedName>
    <definedName name="Pn">'Calcoli'!#REF!</definedName>
    <definedName name="Po">'Calcoli'!#REF!</definedName>
    <definedName name="Portata">'Calcoli'!#REF!</definedName>
    <definedName name="Psfin">#REF!</definedName>
    <definedName name="Q">'Calcoli'!#REF!</definedName>
    <definedName name="Qm">'Calcoli'!#REF!</definedName>
    <definedName name="Qscamb">'Calcoli'!#REF!</definedName>
    <definedName name="r_1">'Calcoli'!$E$30</definedName>
    <definedName name="r_2">'Calcoli'!$H$30</definedName>
    <definedName name="Raria">'Calcoli'!#REF!</definedName>
    <definedName name="rdir">'Calcoli'!$B$30</definedName>
    <definedName name="rE">'Calcoli'!$E$22</definedName>
    <definedName name="rho">'Calcoli'!#REF!</definedName>
    <definedName name="Rhoa">'Calcoli'!#REF!</definedName>
    <definedName name="RhoL">'Calcoli'!#REF!</definedName>
    <definedName name="RhoS">'Calcoli'!#REF!</definedName>
    <definedName name="rrrr">'[1]Calcoli'!$G$29</definedName>
    <definedName name="Rtot">'Calcoli'!#REF!</definedName>
    <definedName name="S">'Calcoli'!#REF!</definedName>
    <definedName name="schj">#REF!</definedName>
    <definedName name="Sdiv">'Calcoli'!#REF!</definedName>
    <definedName name="SELtot">'Calcoli'!$I$16</definedName>
    <definedName name="sigma">'Calcoli'!#REF!</definedName>
    <definedName name="spess1">'Calcoli'!#REF!</definedName>
    <definedName name="spess2">'Calcoli'!#REF!</definedName>
    <definedName name="spess3">'Calcoli'!#REF!</definedName>
    <definedName name="SPL">'Calcoli'!#REF!</definedName>
    <definedName name="SS">'Calcoli'!#REF!</definedName>
    <definedName name="T">'Calcoli'!#REF!</definedName>
    <definedName name="Ta">'Calcoli'!#REF!</definedName>
    <definedName name="Tar">'Calcoli'!#REF!</definedName>
    <definedName name="Taria">'Calcoli'!#REF!</definedName>
    <definedName name="Tfin">'Calcoli'!#REF!</definedName>
    <definedName name="Tin">'Calcoli'!#REF!</definedName>
    <definedName name="Tinf">'Calcoli'!#REF!</definedName>
    <definedName name="Tiniz">'Calcoli'!#REF!</definedName>
    <definedName name="Titolo1">'Calcoli'!#REF!</definedName>
    <definedName name="Tmed1">'Calcoli'!#REF!</definedName>
    <definedName name="Tmed2">'Calcoli'!#REF!</definedName>
    <definedName name="Tmed3">'Calcoli'!#REF!</definedName>
    <definedName name="Tmed4">'Calcoli'!#REF!</definedName>
    <definedName name="Tmed5">'Calcoli'!#REF!</definedName>
    <definedName name="Tmed6">'Calcoli'!#REF!</definedName>
    <definedName name="Tn">'Calcoli'!#REF!</definedName>
    <definedName name="To">'Calcoli'!#REF!</definedName>
    <definedName name="Tout">'Calcoli'!#REF!</definedName>
    <definedName name="Tp">'Calcoli'!#REF!</definedName>
    <definedName name="Ua">'Calcoli'!#REF!</definedName>
    <definedName name="Ufin">'Calcoli'!#REF!</definedName>
    <definedName name="v">'Calcoli'!#REF!</definedName>
    <definedName name="Vfin">'Calcoli'!#REF!</definedName>
    <definedName name="Vn">'Calcoli'!#REF!</definedName>
    <definedName name="Vo">'Calcoli'!#REF!</definedName>
    <definedName name="Vol">'Calcoli'!#REF!</definedName>
    <definedName name="VV">'Calcoli'!#REF!</definedName>
    <definedName name="W">'Calcoli'!#REF!</definedName>
    <definedName name="XX">'Calcoli'!#REF!</definedName>
    <definedName name="XXX1">'Calcoli'!#REF!</definedName>
    <definedName name="Z">'Calcoli'!#REF!</definedName>
    <definedName name="zb">'Calcoli'!$B$29</definedName>
    <definedName name="zr">'Calcoli'!$H$28</definedName>
    <definedName name="zs">'Calcoli'!$E$28</definedName>
  </definedNames>
  <calcPr fullCalcOnLoad="1"/>
</workbook>
</file>

<file path=xl/sharedStrings.xml><?xml version="1.0" encoding="utf-8"?>
<sst xmlns="http://schemas.openxmlformats.org/spreadsheetml/2006/main" count="118" uniqueCount="72">
  <si>
    <t>Matricola</t>
  </si>
  <si>
    <t>A</t>
  </si>
  <si>
    <t>B</t>
  </si>
  <si>
    <t>C</t>
  </si>
  <si>
    <t>D</t>
  </si>
  <si>
    <t>E</t>
  </si>
  <si>
    <t>F</t>
  </si>
  <si>
    <t>AB=</t>
  </si>
  <si>
    <t>CD=</t>
  </si>
  <si>
    <t>EF=</t>
  </si>
  <si>
    <t>1° Esercizio</t>
  </si>
  <si>
    <t>m</t>
  </si>
  <si>
    <t>MIN</t>
  </si>
  <si>
    <t>MAX</t>
  </si>
  <si>
    <t>Esercizio n.</t>
  </si>
  <si>
    <t>Unità</t>
  </si>
  <si>
    <t>Risultato</t>
  </si>
  <si>
    <t>dB</t>
  </si>
  <si>
    <t>Simbolo</t>
  </si>
  <si>
    <t>1-b</t>
  </si>
  <si>
    <t>1-c</t>
  </si>
  <si>
    <t>2-a</t>
  </si>
  <si>
    <t>2-b</t>
  </si>
  <si>
    <t>3-b</t>
  </si>
  <si>
    <t>3-a</t>
  </si>
  <si>
    <t>2° Esercizio</t>
  </si>
  <si>
    <t>3° Esercizio</t>
  </si>
  <si>
    <t>Alfa =</t>
  </si>
  <si>
    <t>2-c</t>
  </si>
  <si>
    <t>dBA</t>
  </si>
  <si>
    <t>at</t>
  </si>
  <si>
    <t>Leq,day =</t>
  </si>
  <si>
    <t>1-a</t>
  </si>
  <si>
    <t>Lpinc =</t>
  </si>
  <si>
    <t>Lprif =</t>
  </si>
  <si>
    <t>dtot =</t>
  </si>
  <si>
    <t>d1 =</t>
  </si>
  <si>
    <t>d2 =</t>
  </si>
  <si>
    <t>f =</t>
  </si>
  <si>
    <t>Hz</t>
  </si>
  <si>
    <t>zs =</t>
  </si>
  <si>
    <t>zr =</t>
  </si>
  <si>
    <t>zbarr =</t>
  </si>
  <si>
    <t>rdir =</t>
  </si>
  <si>
    <t>r1 =</t>
  </si>
  <si>
    <t>r2 =</t>
  </si>
  <si>
    <t>delta = r1+r2-rdir =</t>
  </si>
  <si>
    <t>N = 2 * delta * f / c =</t>
  </si>
  <si>
    <t>Delta L, point = 10*log10(3+20*N) =</t>
  </si>
  <si>
    <t>Delta L, line = 10*log10(2+5.5*N) =</t>
  </si>
  <si>
    <t>N =</t>
  </si>
  <si>
    <t>DeltaL,point =</t>
  </si>
  <si>
    <t>DeltaL,line =</t>
  </si>
  <si>
    <t>3-c</t>
  </si>
  <si>
    <t>Applied Acoustics - 21/02/2020</t>
  </si>
  <si>
    <t>Sel,1car =</t>
  </si>
  <si>
    <t>Sel,1truck =</t>
  </si>
  <si>
    <t>Leq,30m =</t>
  </si>
  <si>
    <t>SPLinc =</t>
  </si>
  <si>
    <t>SPLref =</t>
  </si>
  <si>
    <t>Ncars =</t>
  </si>
  <si>
    <t>Ntrucks =</t>
  </si>
  <si>
    <t>Total SEL cars =</t>
  </si>
  <si>
    <t>Total SEL trucks =</t>
  </si>
  <si>
    <t>Total Sel (car+trucks) =</t>
  </si>
  <si>
    <t>Li =</t>
  </si>
  <si>
    <t>Ld =</t>
  </si>
  <si>
    <t>I=</t>
  </si>
  <si>
    <t>Irif = (EDc-I)/2) =</t>
  </si>
  <si>
    <t>Iinc = (EDc+I)/2 =</t>
  </si>
  <si>
    <t>rE = I/EDc =</t>
  </si>
  <si>
    <t>EDc =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</si>
</sst>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.000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78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179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78" fontId="0" fillId="0" borderId="0" xfId="0" applyNumberFormat="1" applyAlignment="1">
      <alignment horizontal="right"/>
    </xf>
    <xf numFmtId="179" fontId="0" fillId="0" borderId="0" xfId="0" applyNumberFormat="1" applyAlignment="1">
      <alignment/>
    </xf>
    <xf numFmtId="2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59%20-%20Esame%20di%20Fisica%20Tecnica%20del%207%20luglio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Proprietà_H2O"/>
      <sheetName val="Graf_prop_H2O"/>
      <sheetName val="Cr"/>
      <sheetName val="Grafico_Cr"/>
      <sheetName val="Ps"/>
      <sheetName val="Grafico_Ps"/>
      <sheetName val="Ni"/>
      <sheetName val="Grafico_Ni"/>
    </sheetNames>
    <sheetDataSet>
      <sheetData sheetId="1">
        <row r="29">
          <cell r="G29">
            <v>19230.76923076923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="202" zoomScaleNormal="202" zoomScalePageLayoutView="0" workbookViewId="0" topLeftCell="A1">
      <selection activeCell="B18" sqref="B18"/>
    </sheetView>
  </sheetViews>
  <sheetFormatPr defaultColWidth="8.7109375" defaultRowHeight="12.75"/>
  <cols>
    <col min="1" max="1" width="11.7109375" style="3" customWidth="1"/>
    <col min="2" max="2" width="13.140625" style="0" customWidth="1"/>
    <col min="3" max="3" width="12.28125" style="1" bestFit="1" customWidth="1"/>
    <col min="4" max="4" width="12.00390625" style="0" customWidth="1"/>
    <col min="5" max="5" width="8.7109375" style="0" customWidth="1"/>
    <col min="6" max="6" width="7.7109375" style="0" customWidth="1"/>
  </cols>
  <sheetData>
    <row r="1" ht="15.75">
      <c r="A1" s="10" t="s">
        <v>54</v>
      </c>
    </row>
    <row r="3" spans="1:2" ht="12.75">
      <c r="A3" s="3" t="s">
        <v>0</v>
      </c>
      <c r="B3" s="7">
        <v>123456</v>
      </c>
    </row>
    <row r="5" spans="1:6" ht="12.75">
      <c r="A5" s="8" t="s">
        <v>14</v>
      </c>
      <c r="B5" t="s">
        <v>18</v>
      </c>
      <c r="C5" s="1" t="s">
        <v>16</v>
      </c>
      <c r="D5" t="s">
        <v>15</v>
      </c>
      <c r="E5" s="3" t="s">
        <v>12</v>
      </c>
      <c r="F5" s="3" t="s">
        <v>13</v>
      </c>
    </row>
    <row r="6" spans="1:6" ht="12.75">
      <c r="A6" s="8" t="s">
        <v>32</v>
      </c>
      <c r="B6" s="2" t="s">
        <v>55</v>
      </c>
      <c r="C6" s="4">
        <f>Calcoli!B13</f>
        <v>82.97940008672037</v>
      </c>
      <c r="D6" s="2" t="s">
        <v>29</v>
      </c>
      <c r="E6" s="13">
        <f>C6-1</f>
        <v>81.97940008672037</v>
      </c>
      <c r="F6" s="13">
        <f>C6+1</f>
        <v>83.97940008672037</v>
      </c>
    </row>
    <row r="7" spans="1:6" ht="12.75">
      <c r="A7" s="8" t="s">
        <v>19</v>
      </c>
      <c r="B7" s="2" t="s">
        <v>56</v>
      </c>
      <c r="C7" s="4">
        <f>Calcoli!B15</f>
        <v>91.97940008672037</v>
      </c>
      <c r="D7" s="2" t="s">
        <v>29</v>
      </c>
      <c r="E7" s="13">
        <f>C7-1</f>
        <v>90.97940008672037</v>
      </c>
      <c r="F7" s="13">
        <f>C7+1</f>
        <v>92.97940008672037</v>
      </c>
    </row>
    <row r="8" spans="1:6" ht="12.75">
      <c r="A8" s="8" t="s">
        <v>20</v>
      </c>
      <c r="B8" s="2" t="s">
        <v>57</v>
      </c>
      <c r="C8" s="4">
        <f>Calcoli!B17</f>
        <v>82.65771897387381</v>
      </c>
      <c r="D8" s="2" t="s">
        <v>29</v>
      </c>
      <c r="E8" s="13">
        <f>C8-1</f>
        <v>81.65771897387381</v>
      </c>
      <c r="F8" s="13">
        <f>C8+1</f>
        <v>83.65771897387381</v>
      </c>
    </row>
    <row r="9" spans="1:6" ht="12.75">
      <c r="A9" s="8"/>
      <c r="B9" s="2"/>
      <c r="C9" s="4"/>
      <c r="D9" s="2"/>
      <c r="E9" s="1"/>
      <c r="F9" s="1"/>
    </row>
    <row r="10" spans="1:6" ht="12.75">
      <c r="A10" s="8" t="s">
        <v>21</v>
      </c>
      <c r="B10" s="2" t="s">
        <v>27</v>
      </c>
      <c r="C10" s="9">
        <f>Calcoli!B22</f>
        <v>0.20176525671344636</v>
      </c>
      <c r="D10" s="9"/>
      <c r="E10" s="14">
        <f>C10*0.9</f>
        <v>0.18158873104210174</v>
      </c>
      <c r="F10" s="14">
        <f>C10*1.1</f>
        <v>0.221941782384791</v>
      </c>
    </row>
    <row r="11" spans="1:6" ht="12.75">
      <c r="A11" s="8" t="s">
        <v>22</v>
      </c>
      <c r="B11" s="2" t="s">
        <v>58</v>
      </c>
      <c r="C11" s="4">
        <f>Calcoli!B23</f>
        <v>79.95153615684244</v>
      </c>
      <c r="D11" s="9" t="s">
        <v>17</v>
      </c>
      <c r="E11" s="11">
        <f>C11-0.5</f>
        <v>79.45153615684244</v>
      </c>
      <c r="F11" s="11">
        <f>C11+0.5</f>
        <v>80.45153615684244</v>
      </c>
    </row>
    <row r="12" spans="1:6" ht="12.75">
      <c r="A12" s="8" t="s">
        <v>28</v>
      </c>
      <c r="B12" s="2" t="s">
        <v>59</v>
      </c>
      <c r="C12" s="4">
        <f>Calcoli!B24</f>
        <v>78.97284242275893</v>
      </c>
      <c r="D12" s="2" t="s">
        <v>17</v>
      </c>
      <c r="E12" s="11">
        <f>C12-0.5</f>
        <v>78.47284242275893</v>
      </c>
      <c r="F12" s="11">
        <f>C12+0.5</f>
        <v>79.47284242275893</v>
      </c>
    </row>
    <row r="13" spans="2:5" ht="12.75">
      <c r="B13" s="5"/>
      <c r="D13" s="6"/>
      <c r="E13" s="6"/>
    </row>
    <row r="14" spans="1:6" ht="12.75">
      <c r="A14" s="8" t="s">
        <v>24</v>
      </c>
      <c r="B14" s="2" t="s">
        <v>50</v>
      </c>
      <c r="C14" s="15">
        <f>N</f>
        <v>1.4651370050427213</v>
      </c>
      <c r="D14" s="2"/>
      <c r="E14" s="14">
        <f>C14*0.9</f>
        <v>1.3186233045384492</v>
      </c>
      <c r="F14" s="14">
        <f>C14*1.1</f>
        <v>1.6116507055469935</v>
      </c>
    </row>
    <row r="15" spans="1:6" ht="12.75">
      <c r="A15" s="8" t="s">
        <v>23</v>
      </c>
      <c r="B15" s="4" t="s">
        <v>51</v>
      </c>
      <c r="C15" s="4">
        <f>Calcoli!D32</f>
        <v>15.092393632044093</v>
      </c>
      <c r="D15" s="2" t="s">
        <v>17</v>
      </c>
      <c r="E15" s="1">
        <f>C15-1</f>
        <v>14.092393632044093</v>
      </c>
      <c r="F15" s="1">
        <f>C15*1</f>
        <v>15.092393632044093</v>
      </c>
    </row>
    <row r="16" spans="1:6" ht="12.75">
      <c r="A16" s="8" t="s">
        <v>53</v>
      </c>
      <c r="B16" s="2" t="s">
        <v>52</v>
      </c>
      <c r="C16" s="4">
        <f>Calcoli!D33</f>
        <v>10.025225782235278</v>
      </c>
      <c r="D16" s="2" t="s">
        <v>17</v>
      </c>
      <c r="E16" s="1">
        <f>C16-1</f>
        <v>9.025225782235278</v>
      </c>
      <c r="F16" s="1">
        <f>C16*1</f>
        <v>10.025225782235278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3"/>
  <sheetViews>
    <sheetView zoomScale="112" zoomScaleNormal="112" zoomScalePageLayoutView="0" workbookViewId="0" topLeftCell="A1">
      <selection activeCell="E31" sqref="E31"/>
    </sheetView>
  </sheetViews>
  <sheetFormatPr defaultColWidth="8.7109375" defaultRowHeight="12.75"/>
  <cols>
    <col min="1" max="1" width="15.00390625" style="0" customWidth="1"/>
    <col min="2" max="2" width="12.7109375" style="0" bestFit="1" customWidth="1"/>
    <col min="3" max="3" width="11.00390625" style="0" customWidth="1"/>
    <col min="4" max="4" width="17.7109375" style="0" customWidth="1"/>
    <col min="5" max="5" width="12.7109375" style="0" bestFit="1" customWidth="1"/>
    <col min="6" max="6" width="10.28125" style="0" bestFit="1" customWidth="1"/>
    <col min="7" max="9" width="10.140625" style="0" bestFit="1" customWidth="1"/>
    <col min="10" max="13" width="8.7109375" style="0" customWidth="1"/>
    <col min="14" max="14" width="12.28125" style="0" bestFit="1" customWidth="1"/>
    <col min="15" max="20" width="8.7109375" style="0" customWidth="1"/>
    <col min="21" max="21" width="12.28125" style="0" bestFit="1" customWidth="1"/>
  </cols>
  <sheetData>
    <row r="2" spans="1:2" ht="12.75">
      <c r="A2" t="s">
        <v>0</v>
      </c>
      <c r="B2">
        <f>Principale!B3</f>
        <v>123456</v>
      </c>
    </row>
    <row r="3" spans="1:5" ht="12.75">
      <c r="A3" t="s">
        <v>1</v>
      </c>
      <c r="B3">
        <f>INT(B2/100000)</f>
        <v>1</v>
      </c>
      <c r="D3" t="s">
        <v>7</v>
      </c>
      <c r="E3">
        <f>A*10+B</f>
        <v>12</v>
      </c>
    </row>
    <row r="4" spans="1:5" ht="12.75">
      <c r="A4" t="s">
        <v>2</v>
      </c>
      <c r="B4">
        <f>INT((B2-B3*100000)/10000)</f>
        <v>2</v>
      </c>
      <c r="D4" t="s">
        <v>8</v>
      </c>
      <c r="E4">
        <f>CC*10+D</f>
        <v>34</v>
      </c>
    </row>
    <row r="5" spans="1:5" ht="12.75">
      <c r="A5" t="s">
        <v>3</v>
      </c>
      <c r="B5">
        <f>INT((B2-B3*100000-B4*10000)/1000)</f>
        <v>3</v>
      </c>
      <c r="D5" t="s">
        <v>9</v>
      </c>
      <c r="E5">
        <f>E*10+F</f>
        <v>56</v>
      </c>
    </row>
    <row r="6" spans="1:2" ht="12.75">
      <c r="A6" t="s">
        <v>4</v>
      </c>
      <c r="B6">
        <f>INT((B2-B3*100000-B4*10000-B5*1000)/100)</f>
        <v>4</v>
      </c>
    </row>
    <row r="7" spans="1:2" ht="12.75">
      <c r="A7" t="s">
        <v>5</v>
      </c>
      <c r="B7">
        <f>INT((B2-B3*100000-B4*10000-B5*1000-B6*100)/10)</f>
        <v>5</v>
      </c>
    </row>
    <row r="8" spans="1:2" ht="12.75">
      <c r="A8" t="s">
        <v>6</v>
      </c>
      <c r="B8">
        <f>INT((B2-B3*100000-B4*10000-B5*1000-B6*100-B7*10))</f>
        <v>6</v>
      </c>
    </row>
    <row r="10" ht="12.75">
      <c r="A10" s="2" t="s">
        <v>10</v>
      </c>
    </row>
    <row r="11" spans="1:5" ht="12.75">
      <c r="A11" t="s">
        <v>60</v>
      </c>
      <c r="B11">
        <f>900+F*10</f>
        <v>960</v>
      </c>
      <c r="D11" t="s">
        <v>61</v>
      </c>
      <c r="E11">
        <f>70+E</f>
        <v>75</v>
      </c>
    </row>
    <row r="12" spans="1:6" ht="12.75">
      <c r="A12" t="s">
        <v>55</v>
      </c>
      <c r="B12">
        <f>85+D</f>
        <v>89</v>
      </c>
      <c r="C12" t="s">
        <v>29</v>
      </c>
      <c r="D12" t="s">
        <v>30</v>
      </c>
      <c r="E12">
        <v>7.5</v>
      </c>
      <c r="F12" t="s">
        <v>11</v>
      </c>
    </row>
    <row r="13" spans="1:6" ht="12.75">
      <c r="A13" t="s">
        <v>55</v>
      </c>
      <c r="B13" s="4">
        <f>B12+10*LOG10(E12/E13)</f>
        <v>82.97940008672037</v>
      </c>
      <c r="C13" s="2" t="s">
        <v>29</v>
      </c>
      <c r="D13" t="s">
        <v>30</v>
      </c>
      <c r="E13">
        <v>30</v>
      </c>
      <c r="F13" t="s">
        <v>11</v>
      </c>
    </row>
    <row r="14" spans="1:6" ht="12.75">
      <c r="A14" t="s">
        <v>56</v>
      </c>
      <c r="B14" s="1">
        <f>95+CC</f>
        <v>98</v>
      </c>
      <c r="C14" t="s">
        <v>29</v>
      </c>
      <c r="D14" t="s">
        <v>30</v>
      </c>
      <c r="E14">
        <v>7.5</v>
      </c>
      <c r="F14" t="s">
        <v>11</v>
      </c>
    </row>
    <row r="15" spans="1:6" ht="12.75">
      <c r="A15" t="s">
        <v>56</v>
      </c>
      <c r="B15" s="4">
        <f>B14+10*LOG10(E14/E15)</f>
        <v>91.97940008672037</v>
      </c>
      <c r="C15" s="2" t="s">
        <v>29</v>
      </c>
      <c r="D15" t="s">
        <v>30</v>
      </c>
      <c r="E15">
        <v>30</v>
      </c>
      <c r="F15" t="s">
        <v>11</v>
      </c>
    </row>
    <row r="16" spans="1:10" ht="12.75">
      <c r="A16" s="12" t="s">
        <v>62</v>
      </c>
      <c r="B16" s="1">
        <f>B13+10*LOG10(B11)</f>
        <v>112.80211241711606</v>
      </c>
      <c r="C16" t="s">
        <v>29</v>
      </c>
      <c r="D16" s="12" t="s">
        <v>63</v>
      </c>
      <c r="E16" s="1">
        <f>B14+10*LOG10(E11)</f>
        <v>116.750612633917</v>
      </c>
      <c r="F16" t="s">
        <v>29</v>
      </c>
      <c r="G16" s="12" t="s">
        <v>64</v>
      </c>
      <c r="I16">
        <f>10*LOG10(10^(B16/10)+10^(E16/10))</f>
        <v>118.22074398154669</v>
      </c>
      <c r="J16" s="12" t="s">
        <v>29</v>
      </c>
    </row>
    <row r="17" spans="1:6" ht="12.75">
      <c r="A17" s="12" t="s">
        <v>31</v>
      </c>
      <c r="B17" s="4">
        <f>SELtot-10*LOG10(3600)</f>
        <v>82.65771897387381</v>
      </c>
      <c r="C17" s="2" t="s">
        <v>29</v>
      </c>
      <c r="D17" t="s">
        <v>30</v>
      </c>
      <c r="E17">
        <v>30</v>
      </c>
      <c r="F17" t="s">
        <v>11</v>
      </c>
    </row>
    <row r="18" ht="12.75">
      <c r="B18" s="1"/>
    </row>
    <row r="19" ht="12.75">
      <c r="A19" s="2" t="s">
        <v>25</v>
      </c>
    </row>
    <row r="20" spans="1:6" ht="12.75">
      <c r="A20" s="12" t="s">
        <v>65</v>
      </c>
      <c r="B20">
        <f>70+F/2</f>
        <v>73</v>
      </c>
      <c r="C20" s="12" t="s">
        <v>17</v>
      </c>
      <c r="D20" s="12" t="s">
        <v>67</v>
      </c>
      <c r="E20">
        <f>10^(B20/10)</f>
        <v>19952623.14968882</v>
      </c>
      <c r="F20" s="12"/>
    </row>
    <row r="21" spans="1:6" ht="12.75">
      <c r="A21" s="12" t="s">
        <v>66</v>
      </c>
      <c r="B21">
        <f>80+E/2</f>
        <v>82.5</v>
      </c>
      <c r="C21" s="12" t="s">
        <v>17</v>
      </c>
      <c r="D21" s="12" t="s">
        <v>71</v>
      </c>
      <c r="E21">
        <f>10^(B21/10)</f>
        <v>177827941.0038928</v>
      </c>
      <c r="F21" s="12"/>
    </row>
    <row r="22" spans="1:5" ht="12.75">
      <c r="A22" s="12" t="s">
        <v>27</v>
      </c>
      <c r="B22" s="2">
        <f>1-(1-rE)/(1+rE)</f>
        <v>0.20176525671344636</v>
      </c>
      <c r="C22" s="2"/>
      <c r="D22" s="12" t="s">
        <v>70</v>
      </c>
      <c r="E22">
        <f>pmin/pmax</f>
        <v>0.11220184543019615</v>
      </c>
    </row>
    <row r="23" spans="1:6" ht="12.75">
      <c r="A23" s="12" t="s">
        <v>33</v>
      </c>
      <c r="B23" s="4">
        <f>10*LOG10(E23)</f>
        <v>79.95153615684244</v>
      </c>
      <c r="C23" s="2" t="s">
        <v>17</v>
      </c>
      <c r="D23" s="12" t="s">
        <v>69</v>
      </c>
      <c r="E23">
        <f>(pmax+pmin)/2</f>
        <v>98890282.07679081</v>
      </c>
      <c r="F23" s="12"/>
    </row>
    <row r="24" spans="1:6" ht="12.75">
      <c r="A24" s="12" t="s">
        <v>34</v>
      </c>
      <c r="B24" s="4">
        <f>10*LOG10(E24)</f>
        <v>78.97284242275893</v>
      </c>
      <c r="C24" s="2" t="s">
        <v>17</v>
      </c>
      <c r="D24" s="12" t="s">
        <v>68</v>
      </c>
      <c r="E24">
        <f>(pmax-pmin)/2</f>
        <v>78937658.927102</v>
      </c>
      <c r="F24" s="12"/>
    </row>
    <row r="26" ht="12.75">
      <c r="A26" s="2" t="s">
        <v>26</v>
      </c>
    </row>
    <row r="27" spans="1:9" ht="12.75">
      <c r="A27" s="12" t="s">
        <v>35</v>
      </c>
      <c r="B27">
        <f>10+F</f>
        <v>16</v>
      </c>
      <c r="C27" s="12" t="s">
        <v>11</v>
      </c>
      <c r="D27" s="12" t="s">
        <v>36</v>
      </c>
      <c r="E27">
        <f>B27/2</f>
        <v>8</v>
      </c>
      <c r="F27" s="12" t="s">
        <v>11</v>
      </c>
      <c r="G27" s="12" t="s">
        <v>37</v>
      </c>
      <c r="H27">
        <f>B27/2</f>
        <v>8</v>
      </c>
      <c r="I27" s="12" t="s">
        <v>11</v>
      </c>
    </row>
    <row r="28" spans="1:9" ht="12.75">
      <c r="A28" s="12" t="s">
        <v>38</v>
      </c>
      <c r="B28">
        <v>500</v>
      </c>
      <c r="C28" s="12" t="s">
        <v>39</v>
      </c>
      <c r="D28" s="12" t="s">
        <v>40</v>
      </c>
      <c r="E28">
        <v>0.5</v>
      </c>
      <c r="F28" s="12" t="s">
        <v>11</v>
      </c>
      <c r="G28" s="12" t="s">
        <v>41</v>
      </c>
      <c r="H28">
        <v>3</v>
      </c>
      <c r="I28" s="12" t="s">
        <v>11</v>
      </c>
    </row>
    <row r="29" spans="1:6" ht="12.75">
      <c r="A29" s="12" t="s">
        <v>42</v>
      </c>
      <c r="B29">
        <f>4+E/10</f>
        <v>4.5</v>
      </c>
      <c r="C29" s="12" t="s">
        <v>11</v>
      </c>
      <c r="D29" s="12" t="s">
        <v>38</v>
      </c>
      <c r="E29">
        <f>200+D*20</f>
        <v>280</v>
      </c>
      <c r="F29" s="12" t="s">
        <v>39</v>
      </c>
    </row>
    <row r="30" spans="1:9" ht="12.75">
      <c r="A30" s="12" t="s">
        <v>43</v>
      </c>
      <c r="B30">
        <f>SQRT(dtot^2+(zr-zs)^2)</f>
        <v>16.194134740701646</v>
      </c>
      <c r="C30" s="12" t="s">
        <v>11</v>
      </c>
      <c r="D30" s="12" t="s">
        <v>44</v>
      </c>
      <c r="E30">
        <f>SQRT(d_1^2+(zb-zs)^2)</f>
        <v>8.94427190999916</v>
      </c>
      <c r="F30" s="12" t="s">
        <v>11</v>
      </c>
      <c r="G30" s="12" t="s">
        <v>45</v>
      </c>
      <c r="H30">
        <f>SQRT(d_2^2+(zb-zr)^2)</f>
        <v>8.139410298049853</v>
      </c>
      <c r="I30" s="12" t="s">
        <v>11</v>
      </c>
    </row>
    <row r="31" spans="1:6" ht="12.75">
      <c r="A31" s="12" t="s">
        <v>46</v>
      </c>
      <c r="B31">
        <f>r_1+r_2-rdir</f>
        <v>0.8895474673473664</v>
      </c>
      <c r="C31" s="12" t="s">
        <v>11</v>
      </c>
      <c r="D31" s="12" t="s">
        <v>47</v>
      </c>
      <c r="E31" s="2">
        <f>2*delta*freq/340</f>
        <v>1.4651370050427213</v>
      </c>
      <c r="F31" s="2" t="s">
        <v>11</v>
      </c>
    </row>
    <row r="32" spans="1:5" ht="12.75">
      <c r="A32" s="12" t="s">
        <v>48</v>
      </c>
      <c r="D32" s="4">
        <f>10*LOG10(3+20*N)</f>
        <v>15.092393632044093</v>
      </c>
      <c r="E32" s="2" t="s">
        <v>17</v>
      </c>
    </row>
    <row r="33" spans="1:5" ht="12.75">
      <c r="A33" s="12" t="s">
        <v>49</v>
      </c>
      <c r="D33" s="4">
        <f>10*LOG10(2+5.5*N)</f>
        <v>10.025225782235278</v>
      </c>
      <c r="E33" s="2" t="s">
        <v>17</v>
      </c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  <oleObjects>
    <oleObject progId="" shapeId="394188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1999-01-28T08:12:29Z</dcterms:created>
  <dcterms:modified xsi:type="dcterms:W3CDTF">2020-02-21T08:51:28Z</dcterms:modified>
  <cp:category/>
  <cp:version/>
  <cp:contentType/>
  <cp:contentStatus/>
</cp:coreProperties>
</file>