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" yWindow="2376" windowWidth="11904" windowHeight="3792" activeTab="1"/>
  </bookViews>
  <sheets>
    <sheet name="Principale" sheetId="1" r:id="rId1"/>
    <sheet name="Calcoli" sheetId="2" r:id="rId2"/>
  </sheets>
  <externalReferences>
    <externalReference r:id="rId5"/>
  </externalReferences>
  <definedNames>
    <definedName name="_Cir1">'Calcoli'!#REF!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'Calcoli'!#REF!</definedName>
    <definedName name="_Lp1">'Calcoli'!#REF!</definedName>
    <definedName name="_Lp2">'Calcoli'!#REF!</definedName>
    <definedName name="_MA1">'Calcoli'!#REF!</definedName>
    <definedName name="_MA2">'Calcoli'!#REF!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'Calcoli'!#REF!</definedName>
    <definedName name="_Phi2">'Calcoli'!#REF!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'Calcoli'!#REF!</definedName>
    <definedName name="_Re2">'Calcoli'!#REF!</definedName>
    <definedName name="_Re3">'Calcoli'!#REF!</definedName>
    <definedName name="_Re4">'Calcoli'!#REF!</definedName>
    <definedName name="_Re5">'Calcoli'!#REF!</definedName>
    <definedName name="_RT1">'Calcoli'!#REF!</definedName>
    <definedName name="_RT2">'Calcoli'!#REF!</definedName>
    <definedName name="_Tit1">'Calcoli'!#REF!</definedName>
    <definedName name="_TT1">'Calcoli'!#REF!</definedName>
    <definedName name="_TT2">'Calcoli'!#REF!</definedName>
    <definedName name="_UU1">'Calcoli'!#REF!</definedName>
    <definedName name="_UU2">'Calcoli'!#REF!</definedName>
    <definedName name="_UU3">'Calcoli'!#REF!</definedName>
    <definedName name="_UU4">'Calcoli'!#REF!</definedName>
    <definedName name="_UU5">'Calcoli'!#REF!</definedName>
    <definedName name="_Vol2">'Calcoli'!#REF!</definedName>
    <definedName name="_xx1">'Calcoli'!#REF!</definedName>
    <definedName name="_xx2">'Calcoli'!#REF!</definedName>
    <definedName name="A">'Calcoli'!$B$3</definedName>
    <definedName name="AB">'Calcoli'!$E$3</definedName>
    <definedName name="B">'Calcoli'!$B$4</definedName>
    <definedName name="CC">'Calcoli'!$B$5</definedName>
    <definedName name="CD">'Calcoli'!$E$4</definedName>
    <definedName name="cpa">'Calcoli'!#REF!</definedName>
    <definedName name="cvn">'Calcoli'!#REF!</definedName>
    <definedName name="cvo">'Calcoli'!#REF!</definedName>
    <definedName name="czero">'Calcoli'!$C$13</definedName>
    <definedName name="D">'Calcoli'!$B$6</definedName>
    <definedName name="dd">'Calcoli'!$B$25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p">'Calcoli'!#REF!</definedName>
    <definedName name="E">'Calcoli'!$B$7</definedName>
    <definedName name="EF">'Calcoli'!$E$5</definedName>
    <definedName name="F">'Calcoli'!$B$8</definedName>
    <definedName name="freq">'Calcoli'!#REF!</definedName>
    <definedName name="hconv">'Calcoli'!#REF!</definedName>
    <definedName name="I">'Calcoli'!$C$18</definedName>
    <definedName name="Ktot">'Calcoli'!#REF!</definedName>
    <definedName name="L">'Calcoli'!#REF!</definedName>
    <definedName name="lambda1">'Calcoli'!#REF!</definedName>
    <definedName name="lambda2">'Calcoli'!#REF!</definedName>
    <definedName name="lambda3">'Calcoli'!#REF!</definedName>
    <definedName name="Ldir">'Calcoli'!#REF!</definedName>
    <definedName name="Lep">'Calcoli'!#REF!</definedName>
    <definedName name="Leq">'Calcoli'!#REF!</definedName>
    <definedName name="LProsa">'Calcoli'!#REF!</definedName>
    <definedName name="Lw">'Calcoli'!$B$26</definedName>
    <definedName name="Lw1m">#REF!</definedName>
    <definedName name="Ma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iacqua">'Calcoli'!#REF!</definedName>
    <definedName name="niaria">#REF!</definedName>
    <definedName name="Nices">#REF!</definedName>
    <definedName name="p">'Calcoli'!$C$16</definedName>
    <definedName name="Phifin">'Calcoli'!#REF!</definedName>
    <definedName name="Pn">'Calcoli'!#REF!</definedName>
    <definedName name="Po">'Calcoli'!#REF!</definedName>
    <definedName name="Portata">'Calcoli'!#REF!</definedName>
    <definedName name="Psfin">#REF!</definedName>
    <definedName name="Q">'Calcoli'!#REF!</definedName>
    <definedName name="Qm">'Calcoli'!#REF!</definedName>
    <definedName name="Qscamb">'Calcoli'!#REF!</definedName>
    <definedName name="Raria">'Calcoli'!#REF!</definedName>
    <definedName name="rho">'Calcoli'!$C$14</definedName>
    <definedName name="Rhoa">'Calcoli'!#REF!</definedName>
    <definedName name="RhoL">'Calcoli'!#REF!</definedName>
    <definedName name="RhoS">'Calcoli'!#REF!</definedName>
    <definedName name="rrrr">'[1]Calcoli'!$G$29</definedName>
    <definedName name="Rtot">'Calcoli'!#REF!</definedName>
    <definedName name="S">'Calcoli'!$C$19</definedName>
    <definedName name="schj">#REF!</definedName>
    <definedName name="Sdiv">'Calcoli'!#REF!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SPL">'Calcoli'!$B$11</definedName>
    <definedName name="T">'Calcoli'!#REF!</definedName>
    <definedName name="Ta">'Calcoli'!$B$12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Ua">'Calcoli'!#REF!</definedName>
    <definedName name="Ufin">'Calcoli'!#REF!</definedName>
    <definedName name="v">'Calcoli'!$C$17</definedName>
    <definedName name="Vfin">'Calcoli'!#REF!</definedName>
    <definedName name="Vn">'Calcoli'!#REF!</definedName>
    <definedName name="Vo">'Calcoli'!#REF!</definedName>
    <definedName name="Vol">'Calcoli'!#REF!</definedName>
    <definedName name="VV">'Calcoli'!$B$35</definedName>
    <definedName name="W">'Calcoli'!$C$20</definedName>
    <definedName name="XX">'Calcoli'!#REF!</definedName>
    <definedName name="XXX1">'Calcoli'!#REF!</definedName>
    <definedName name="Z">'Calcoli'!$C$15</definedName>
    <definedName name="Zr">'Calcoli'!$B$24</definedName>
    <definedName name="Zs">'Calcoli'!$B$23</definedName>
  </definedNames>
  <calcPr fullCalcOnLoad="1"/>
</workbook>
</file>

<file path=xl/sharedStrings.xml><?xml version="1.0" encoding="utf-8"?>
<sst xmlns="http://schemas.openxmlformats.org/spreadsheetml/2006/main" count="92" uniqueCount="74">
  <si>
    <t>Matricola</t>
  </si>
  <si>
    <t>A</t>
  </si>
  <si>
    <t>B</t>
  </si>
  <si>
    <t>C</t>
  </si>
  <si>
    <t>D</t>
  </si>
  <si>
    <t>E</t>
  </si>
  <si>
    <t>F</t>
  </si>
  <si>
    <t>AB=</t>
  </si>
  <si>
    <t>CD=</t>
  </si>
  <si>
    <t>EF=</t>
  </si>
  <si>
    <t>1° Esercizio</t>
  </si>
  <si>
    <t>m</t>
  </si>
  <si>
    <t>MIN</t>
  </si>
  <si>
    <t>MAX</t>
  </si>
  <si>
    <t>Esercizio n.</t>
  </si>
  <si>
    <t>Unità</t>
  </si>
  <si>
    <t>Risultato</t>
  </si>
  <si>
    <t>dB</t>
  </si>
  <si>
    <t>Simbolo</t>
  </si>
  <si>
    <t>1-a</t>
  </si>
  <si>
    <t>1-b</t>
  </si>
  <si>
    <t>d =</t>
  </si>
  <si>
    <t>1-c</t>
  </si>
  <si>
    <t>2-a</t>
  </si>
  <si>
    <t>2-b</t>
  </si>
  <si>
    <t>dB(A)</t>
  </si>
  <si>
    <t>3-b</t>
  </si>
  <si>
    <t>3-a</t>
  </si>
  <si>
    <t>Pa</t>
  </si>
  <si>
    <t>Applied Acoustics - 15/07/2016</t>
  </si>
  <si>
    <t>v =</t>
  </si>
  <si>
    <t>I =</t>
  </si>
  <si>
    <t>W =</t>
  </si>
  <si>
    <t>SPL =</t>
  </si>
  <si>
    <t>Ta =</t>
  </si>
  <si>
    <t>°C</t>
  </si>
  <si>
    <t>c = Sqrt(gamma*R*T ) =</t>
  </si>
  <si>
    <t>m/s</t>
  </si>
  <si>
    <t>rho = p/(R*T) =</t>
  </si>
  <si>
    <t>kg/m3</t>
  </si>
  <si>
    <t>Z = rho*c =</t>
  </si>
  <si>
    <t>rayls</t>
  </si>
  <si>
    <t>v = p/Z =</t>
  </si>
  <si>
    <t>p = p0*10^(SPL/20) =</t>
  </si>
  <si>
    <t>I = p*v =</t>
  </si>
  <si>
    <t>W/m2</t>
  </si>
  <si>
    <t>S = pi*D^2/4 =</t>
  </si>
  <si>
    <t>m2</t>
  </si>
  <si>
    <t>W = I*S =</t>
  </si>
  <si>
    <t>W</t>
  </si>
  <si>
    <t>Ltot-inc =</t>
  </si>
  <si>
    <t>Ltot-coh =</t>
  </si>
  <si>
    <t>Zs =</t>
  </si>
  <si>
    <t>Zr =</t>
  </si>
  <si>
    <t>Lw =</t>
  </si>
  <si>
    <t>rdir = sqrt(d^2+(Zr-Zs)^2) =</t>
  </si>
  <si>
    <t>rrif = sqrt(d^2+(Zr+Zs)^2) =</t>
  </si>
  <si>
    <t>Ldir = Lw - 11 - 20*log10(rdir) =</t>
  </si>
  <si>
    <t>Lrif = Lw - 11 - 20*log10(rrif) =</t>
  </si>
  <si>
    <t>2° Esercizio</t>
  </si>
  <si>
    <t>Ltot,inc = 10*log10(10^L1/10)+10^(L2/10)) =</t>
  </si>
  <si>
    <t>Ltot,coh = 20*log10(10^L1/20)+10^(L2/20)) =</t>
  </si>
  <si>
    <t>Lptot =</t>
  </si>
  <si>
    <t>3° Esercizio</t>
  </si>
  <si>
    <t>f (hz)</t>
  </si>
  <si>
    <t>Lw (dB)</t>
  </si>
  <si>
    <t>T30 (s)</t>
  </si>
  <si>
    <t>V =</t>
  </si>
  <si>
    <t>m3</t>
  </si>
  <si>
    <t>A (m2)</t>
  </si>
  <si>
    <t>Lp (dB)</t>
  </si>
  <si>
    <t>A-w (dB)</t>
  </si>
  <si>
    <t>Lp (dBA)</t>
  </si>
  <si>
    <t>Total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</si>
</sst>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="95" zoomScaleNormal="95" zoomScalePageLayoutView="0" workbookViewId="0" topLeftCell="A1">
      <selection activeCell="B4" sqref="B4"/>
    </sheetView>
  </sheetViews>
  <sheetFormatPr defaultColWidth="8.7109375" defaultRowHeight="12.75"/>
  <cols>
    <col min="1" max="1" width="11.7109375" style="3" customWidth="1"/>
    <col min="2" max="2" width="9.421875" style="0" bestFit="1" customWidth="1"/>
    <col min="3" max="3" width="12.28125" style="1" bestFit="1" customWidth="1"/>
    <col min="4" max="4" width="12.00390625" style="0" customWidth="1"/>
    <col min="5" max="5" width="8.7109375" style="0" customWidth="1"/>
    <col min="6" max="6" width="7.7109375" style="0" customWidth="1"/>
  </cols>
  <sheetData>
    <row r="1" ht="15">
      <c r="A1" s="11" t="s">
        <v>29</v>
      </c>
    </row>
    <row r="3" spans="1:2" ht="12.75">
      <c r="A3" s="3" t="s">
        <v>0</v>
      </c>
      <c r="B3" s="7">
        <v>258964</v>
      </c>
    </row>
    <row r="5" spans="1:6" ht="12.75">
      <c r="A5" s="8" t="s">
        <v>14</v>
      </c>
      <c r="B5" t="s">
        <v>18</v>
      </c>
      <c r="C5" s="1" t="s">
        <v>16</v>
      </c>
      <c r="D5" t="s">
        <v>15</v>
      </c>
      <c r="E5" s="3" t="s">
        <v>12</v>
      </c>
      <c r="F5" s="3" t="s">
        <v>13</v>
      </c>
    </row>
    <row r="6" spans="1:6" ht="12.75">
      <c r="A6" s="8"/>
      <c r="E6" s="3"/>
      <c r="F6" s="3"/>
    </row>
    <row r="7" spans="1:6" ht="12.75">
      <c r="A7" s="9" t="s">
        <v>19</v>
      </c>
      <c r="B7" s="2" t="s">
        <v>30</v>
      </c>
      <c r="C7" s="12">
        <f>v</f>
        <v>0.002411771734542328</v>
      </c>
      <c r="D7" s="2" t="s">
        <v>37</v>
      </c>
      <c r="E7" s="13">
        <f>C7/1.05</f>
        <v>0.002296925461468884</v>
      </c>
      <c r="F7" s="13">
        <f>C7*1.05</f>
        <v>0.0025323603212694446</v>
      </c>
    </row>
    <row r="8" spans="1:6" ht="12.75">
      <c r="A8" s="9" t="s">
        <v>20</v>
      </c>
      <c r="B8" s="2" t="s">
        <v>31</v>
      </c>
      <c r="C8" s="12">
        <f>I</f>
        <v>0.0024174984075514385</v>
      </c>
      <c r="D8" s="2" t="s">
        <v>45</v>
      </c>
      <c r="E8" s="13">
        <f>C8/1.05</f>
        <v>0.0023023794357632747</v>
      </c>
      <c r="F8" s="13">
        <f>C8*1.05</f>
        <v>0.0025383733279290104</v>
      </c>
    </row>
    <row r="9" spans="1:6" ht="12.75">
      <c r="A9" s="9" t="s">
        <v>22</v>
      </c>
      <c r="B9" s="2" t="s">
        <v>32</v>
      </c>
      <c r="C9" s="12">
        <f>W</f>
        <v>1.8986988093071557E-05</v>
      </c>
      <c r="D9" s="2" t="s">
        <v>49</v>
      </c>
      <c r="E9" s="13">
        <f>C9/1.05</f>
        <v>1.808284580292529E-05</v>
      </c>
      <c r="F9" s="13">
        <f>C9*1.05</f>
        <v>1.9936337497725134E-05</v>
      </c>
    </row>
    <row r="10" spans="1:6" ht="12.75">
      <c r="A10" s="9"/>
      <c r="B10" s="2"/>
      <c r="C10" s="4"/>
      <c r="D10" s="2"/>
      <c r="E10" s="1"/>
      <c r="F10" s="1"/>
    </row>
    <row r="11" spans="1:6" ht="12.75">
      <c r="A11" s="9" t="s">
        <v>23</v>
      </c>
      <c r="B11" s="2" t="s">
        <v>50</v>
      </c>
      <c r="C11" s="4">
        <f>Calcoli!D31</f>
        <v>76.09072945296437</v>
      </c>
      <c r="D11" s="2" t="s">
        <v>17</v>
      </c>
      <c r="E11" s="15">
        <f>C11-0.5</f>
        <v>75.59072945296437</v>
      </c>
      <c r="F11" s="15">
        <f>C11+0.5</f>
        <v>76.59072945296437</v>
      </c>
    </row>
    <row r="12" spans="1:6" ht="12.75">
      <c r="A12" s="9" t="s">
        <v>24</v>
      </c>
      <c r="B12" s="2" t="s">
        <v>51</v>
      </c>
      <c r="C12" s="4">
        <f>Calcoli!D32</f>
        <v>79.08431657943308</v>
      </c>
      <c r="D12" s="10" t="s">
        <v>17</v>
      </c>
      <c r="E12" s="15">
        <f>C12-0.5</f>
        <v>78.58431657943308</v>
      </c>
      <c r="F12" s="15">
        <f>C12+0.5</f>
        <v>79.58431657943308</v>
      </c>
    </row>
    <row r="13" spans="2:5" ht="12.75">
      <c r="B13" s="5"/>
      <c r="D13" s="6"/>
      <c r="E13" s="6"/>
    </row>
    <row r="14" spans="1:6" ht="12.75">
      <c r="A14" s="9" t="s">
        <v>27</v>
      </c>
      <c r="B14" s="2" t="s">
        <v>62</v>
      </c>
      <c r="C14" s="4">
        <f>Calcoli!H42</f>
        <v>83.0441728853898</v>
      </c>
      <c r="D14" s="2" t="s">
        <v>17</v>
      </c>
      <c r="E14" s="15">
        <f>C14-0.5</f>
        <v>82.5441728853898</v>
      </c>
      <c r="F14" s="15">
        <f>C14+0.5</f>
        <v>83.5441728853898</v>
      </c>
    </row>
    <row r="15" spans="1:6" ht="12.75">
      <c r="A15" s="9" t="s">
        <v>26</v>
      </c>
      <c r="B15" s="4" t="s">
        <v>62</v>
      </c>
      <c r="C15" s="4">
        <f>Calcoli!H44</f>
        <v>74.2086628856429</v>
      </c>
      <c r="D15" s="4" t="s">
        <v>25</v>
      </c>
      <c r="E15" s="15">
        <f>C15-0.5</f>
        <v>73.7086628856429</v>
      </c>
      <c r="F15" s="15">
        <f>C15+0.5</f>
        <v>74.7086628856429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="112" zoomScaleNormal="112" zoomScalePageLayoutView="0" workbookViewId="0" topLeftCell="A1">
      <selection activeCell="C17" sqref="C17"/>
    </sheetView>
  </sheetViews>
  <sheetFormatPr defaultColWidth="8.7109375" defaultRowHeight="12.75"/>
  <cols>
    <col min="1" max="1" width="15.00390625" style="0" customWidth="1"/>
    <col min="2" max="2" width="12.7109375" style="0" bestFit="1" customWidth="1"/>
    <col min="3" max="3" width="11.00390625" style="0" customWidth="1"/>
    <col min="4" max="4" width="10.421875" style="0" bestFit="1" customWidth="1"/>
    <col min="5" max="5" width="12.7109375" style="0" bestFit="1" customWidth="1"/>
    <col min="6" max="6" width="10.28125" style="0" bestFit="1" customWidth="1"/>
    <col min="7" max="9" width="10.140625" style="0" bestFit="1" customWidth="1"/>
    <col min="10" max="13" width="8.7109375" style="0" customWidth="1"/>
    <col min="14" max="14" width="12.28125" style="0" bestFit="1" customWidth="1"/>
    <col min="15" max="20" width="8.7109375" style="0" customWidth="1"/>
    <col min="21" max="21" width="12.28125" style="0" bestFit="1" customWidth="1"/>
  </cols>
  <sheetData>
    <row r="2" spans="1:2" ht="12.75">
      <c r="A2" t="s">
        <v>0</v>
      </c>
      <c r="B2">
        <f>Principale!B3</f>
        <v>258964</v>
      </c>
    </row>
    <row r="3" spans="1:5" ht="12.75">
      <c r="A3" t="s">
        <v>1</v>
      </c>
      <c r="B3">
        <f>INT(B2/100000)</f>
        <v>2</v>
      </c>
      <c r="D3" t="s">
        <v>7</v>
      </c>
      <c r="E3">
        <f>A*10+B</f>
        <v>25</v>
      </c>
    </row>
    <row r="4" spans="1:5" ht="12.75">
      <c r="A4" t="s">
        <v>2</v>
      </c>
      <c r="B4">
        <f>INT((B2-B3*100000)/10000)</f>
        <v>5</v>
      </c>
      <c r="D4" t="s">
        <v>8</v>
      </c>
      <c r="E4">
        <f>CC*10+D</f>
        <v>89</v>
      </c>
    </row>
    <row r="5" spans="1:5" ht="12.75">
      <c r="A5" t="s">
        <v>3</v>
      </c>
      <c r="B5">
        <f>INT((B2-B3*100000-B4*10000)/1000)</f>
        <v>8</v>
      </c>
      <c r="D5" t="s">
        <v>9</v>
      </c>
      <c r="E5">
        <f>E*10+F</f>
        <v>64</v>
      </c>
    </row>
    <row r="6" spans="1:2" ht="12.75">
      <c r="A6" t="s">
        <v>4</v>
      </c>
      <c r="B6">
        <f>INT((B2-B3*100000-B4*10000-B5*1000)/100)</f>
        <v>9</v>
      </c>
    </row>
    <row r="7" spans="1:2" ht="12.75">
      <c r="A7" t="s">
        <v>5</v>
      </c>
      <c r="B7">
        <f>INT((B2-B3*100000-B4*10000-B5*1000-B6*100)/10)</f>
        <v>6</v>
      </c>
    </row>
    <row r="8" spans="1:2" ht="12.75">
      <c r="A8" t="s">
        <v>6</v>
      </c>
      <c r="B8">
        <f>INT((B2-B3*100000-B4*10000-B5*1000-B6*100-B7*10))</f>
        <v>4</v>
      </c>
    </row>
    <row r="10" ht="12.75">
      <c r="A10" s="2" t="s">
        <v>10</v>
      </c>
    </row>
    <row r="11" spans="1:3" ht="12.75">
      <c r="A11" t="s">
        <v>33</v>
      </c>
      <c r="B11">
        <f>90+F</f>
        <v>94</v>
      </c>
      <c r="C11" t="s">
        <v>17</v>
      </c>
    </row>
    <row r="12" spans="1:3" ht="12.75">
      <c r="A12" t="s">
        <v>34</v>
      </c>
      <c r="B12">
        <f>10+D</f>
        <v>19</v>
      </c>
      <c r="C12" t="s">
        <v>35</v>
      </c>
    </row>
    <row r="13" spans="1:4" ht="12.75">
      <c r="A13" t="s">
        <v>36</v>
      </c>
      <c r="C13">
        <f>SQRT(1.41*287*(273+Ta))</f>
        <v>343.7493854539961</v>
      </c>
      <c r="D13" t="s">
        <v>37</v>
      </c>
    </row>
    <row r="14" spans="1:4" ht="12.75">
      <c r="A14" t="s">
        <v>38</v>
      </c>
      <c r="C14">
        <f>101325/(287*(273+Ta))</f>
        <v>1.2090711660541262</v>
      </c>
      <c r="D14" t="s">
        <v>39</v>
      </c>
    </row>
    <row r="15" spans="1:4" ht="12.75">
      <c r="A15" t="s">
        <v>40</v>
      </c>
      <c r="C15">
        <f>rho*czero</f>
        <v>415.6174703012524</v>
      </c>
      <c r="D15" t="s">
        <v>41</v>
      </c>
    </row>
    <row r="16" spans="1:4" ht="12.75">
      <c r="A16" t="s">
        <v>43</v>
      </c>
      <c r="C16">
        <f>0.00002*10^(SPL/20)</f>
        <v>1.002374467254546</v>
      </c>
      <c r="D16" t="s">
        <v>28</v>
      </c>
    </row>
    <row r="17" spans="1:4" ht="12.75">
      <c r="A17" s="2" t="s">
        <v>42</v>
      </c>
      <c r="B17" s="2"/>
      <c r="C17" s="2">
        <f>p/Z</f>
        <v>0.002411771734542328</v>
      </c>
      <c r="D17" s="2" t="s">
        <v>37</v>
      </c>
    </row>
    <row r="18" spans="1:4" ht="12.75">
      <c r="A18" s="2" t="s">
        <v>44</v>
      </c>
      <c r="B18" s="2"/>
      <c r="C18" s="2">
        <f>p*v</f>
        <v>0.0024174984075514385</v>
      </c>
      <c r="D18" s="2" t="s">
        <v>45</v>
      </c>
    </row>
    <row r="19" spans="1:4" ht="12.75">
      <c r="A19" t="s">
        <v>46</v>
      </c>
      <c r="C19">
        <f>PI()*0.1^2/4</f>
        <v>0.007853981633974483</v>
      </c>
      <c r="D19" t="s">
        <v>47</v>
      </c>
    </row>
    <row r="20" spans="1:4" ht="12.75">
      <c r="A20" s="2" t="s">
        <v>48</v>
      </c>
      <c r="B20" s="2"/>
      <c r="C20" s="2">
        <f>I*S</f>
        <v>1.8986988093071557E-05</v>
      </c>
      <c r="D20" s="2" t="s">
        <v>49</v>
      </c>
    </row>
    <row r="22" ht="12.75">
      <c r="A22" s="2" t="s">
        <v>59</v>
      </c>
    </row>
    <row r="23" spans="1:3" ht="12.75">
      <c r="A23" s="14" t="s">
        <v>52</v>
      </c>
      <c r="B23">
        <f>B/10+1</f>
        <v>1.5</v>
      </c>
      <c r="C23" s="14" t="s">
        <v>11</v>
      </c>
    </row>
    <row r="24" spans="1:3" ht="12.75">
      <c r="A24" s="2" t="s">
        <v>53</v>
      </c>
      <c r="B24">
        <f>CC+5</f>
        <v>13</v>
      </c>
      <c r="C24" s="14" t="s">
        <v>11</v>
      </c>
    </row>
    <row r="25" spans="1:3" ht="12.75">
      <c r="A25" s="14" t="s">
        <v>21</v>
      </c>
      <c r="B25">
        <f>10+A</f>
        <v>12</v>
      </c>
      <c r="C25" s="14" t="s">
        <v>11</v>
      </c>
    </row>
    <row r="26" spans="1:3" ht="12.75">
      <c r="A26" s="2" t="s">
        <v>54</v>
      </c>
      <c r="B26">
        <f>100+D</f>
        <v>109</v>
      </c>
      <c r="C26" s="14" t="s">
        <v>17</v>
      </c>
    </row>
    <row r="27" spans="1:4" ht="12.75">
      <c r="A27" s="14" t="s">
        <v>55</v>
      </c>
      <c r="C27">
        <f>SQRT(dd^2+(Zr-Zs)^2)</f>
        <v>16.62077013859466</v>
      </c>
      <c r="D27" s="14" t="s">
        <v>11</v>
      </c>
    </row>
    <row r="28" spans="1:4" ht="12.75">
      <c r="A28" s="2" t="s">
        <v>56</v>
      </c>
      <c r="C28">
        <f>SQRT(dd^2+(Zr+Zs)^2)</f>
        <v>18.82153022471871</v>
      </c>
      <c r="D28" s="14" t="s">
        <v>11</v>
      </c>
    </row>
    <row r="29" spans="1:4" ht="12.75">
      <c r="A29" s="14" t="s">
        <v>57</v>
      </c>
      <c r="C29">
        <f>Lw-11-20*LOG10(C27)</f>
        <v>73.58697713306833</v>
      </c>
      <c r="D29" s="14" t="s">
        <v>17</v>
      </c>
    </row>
    <row r="30" spans="1:4" ht="12.75">
      <c r="A30" s="14" t="s">
        <v>58</v>
      </c>
      <c r="C30">
        <f>Lw-11-20*LOG10(C28)</f>
        <v>72.50690141080503</v>
      </c>
      <c r="D30" s="14" t="s">
        <v>17</v>
      </c>
    </row>
    <row r="31" spans="1:5" ht="12.75">
      <c r="A31" s="2" t="s">
        <v>60</v>
      </c>
      <c r="B31" s="2"/>
      <c r="C31" s="2"/>
      <c r="D31" s="2">
        <f>10*LOG10(10^(C29/10)+10^(C30/10))</f>
        <v>76.09072945296437</v>
      </c>
      <c r="E31" s="2" t="s">
        <v>17</v>
      </c>
    </row>
    <row r="32" spans="1:5" ht="12.75">
      <c r="A32" s="2" t="s">
        <v>61</v>
      </c>
      <c r="B32" s="2"/>
      <c r="C32" s="2"/>
      <c r="D32" s="2">
        <f>20*LOG10(10^(C30/20)+10^(C29/20))</f>
        <v>79.08431657943308</v>
      </c>
      <c r="E32" s="2" t="s">
        <v>17</v>
      </c>
    </row>
    <row r="34" ht="12.75">
      <c r="A34" s="2" t="s">
        <v>63</v>
      </c>
    </row>
    <row r="35" spans="1:3" ht="12.75">
      <c r="A35" s="2" t="s">
        <v>67</v>
      </c>
      <c r="B35">
        <f>500+EF</f>
        <v>564</v>
      </c>
      <c r="C35" s="14" t="s">
        <v>68</v>
      </c>
    </row>
    <row r="36" ht="12.75">
      <c r="A36" s="2"/>
    </row>
    <row r="37" ht="12.75">
      <c r="A37" s="2"/>
    </row>
    <row r="38" spans="1:8" ht="12.75">
      <c r="A38" s="2" t="s">
        <v>64</v>
      </c>
      <c r="B38">
        <v>125</v>
      </c>
      <c r="C38">
        <v>250</v>
      </c>
      <c r="D38">
        <v>500</v>
      </c>
      <c r="E38">
        <v>1000</v>
      </c>
      <c r="F38">
        <v>2000</v>
      </c>
      <c r="G38">
        <v>4000</v>
      </c>
      <c r="H38" s="14" t="s">
        <v>73</v>
      </c>
    </row>
    <row r="39" spans="1:7" ht="12.75">
      <c r="A39" s="2" t="s">
        <v>65</v>
      </c>
      <c r="B39">
        <f>84+F</f>
        <v>88</v>
      </c>
      <c r="C39">
        <f>80+E</f>
        <v>86</v>
      </c>
      <c r="D39">
        <f>75+D</f>
        <v>84</v>
      </c>
      <c r="E39">
        <f>70+CC</f>
        <v>78</v>
      </c>
      <c r="F39">
        <f>70+B</f>
        <v>75</v>
      </c>
      <c r="G39">
        <f>70+A</f>
        <v>72</v>
      </c>
    </row>
    <row r="40" spans="1:7" ht="12.75">
      <c r="A40" s="2" t="s">
        <v>66</v>
      </c>
      <c r="B40">
        <f>5-F/5</f>
        <v>4.2</v>
      </c>
      <c r="C40">
        <f>4-E/8</f>
        <v>3.25</v>
      </c>
      <c r="D40">
        <f>3-D/10</f>
        <v>2.1</v>
      </c>
      <c r="E40">
        <f>3-CC/10</f>
        <v>2.2</v>
      </c>
      <c r="F40">
        <f>2-B/10</f>
        <v>1.5</v>
      </c>
      <c r="G40">
        <f>2-A/10</f>
        <v>1.8</v>
      </c>
    </row>
    <row r="41" spans="1:7" ht="12.75">
      <c r="A41" s="2" t="s">
        <v>69</v>
      </c>
      <c r="B41">
        <f>0.16*VV/B40</f>
        <v>21.485714285714284</v>
      </c>
      <c r="C41">
        <f>0.16*VV/C40</f>
        <v>27.766153846153845</v>
      </c>
      <c r="D41">
        <f>0.16*VV/D40</f>
        <v>42.97142857142857</v>
      </c>
      <c r="E41">
        <f>0.16*VV/E40</f>
        <v>41.018181818181816</v>
      </c>
      <c r="F41">
        <f>0.16*VV/F40</f>
        <v>60.16</v>
      </c>
      <c r="G41">
        <f>0.16*VV/G40</f>
        <v>50.133333333333326</v>
      </c>
    </row>
    <row r="42" spans="1:8" ht="12.75">
      <c r="A42" s="2" t="s">
        <v>70</v>
      </c>
      <c r="B42">
        <f>B39+10*LOG10(4/B41)</f>
        <v>80.69910195086595</v>
      </c>
      <c r="C42">
        <f>C39+10*LOG10(4/C41)</f>
        <v>77.5854426566757</v>
      </c>
      <c r="D42">
        <f>D39+10*LOG10(4/D41)</f>
        <v>73.68880199422614</v>
      </c>
      <c r="E42">
        <f>E39+10*LOG10(4/E41)</f>
        <v>67.89083585510902</v>
      </c>
      <c r="F42">
        <f>F39+10*LOG10(4/F41)</f>
        <v>63.227521637443765</v>
      </c>
      <c r="G42">
        <f>G39+10*LOG10(4/G41)</f>
        <v>61.019334097920016</v>
      </c>
      <c r="H42" s="2">
        <f>10*LOG10(10^(B42/10)+10^(C42/10)+10^(D42/10)+10*(E42/10)+10^(F42/10)+10^(G42/10))</f>
        <v>83.0441728853898</v>
      </c>
    </row>
    <row r="43" spans="1:7" ht="12.75">
      <c r="A43" s="2" t="s">
        <v>71</v>
      </c>
      <c r="B43">
        <v>-16.1</v>
      </c>
      <c r="C43">
        <v>-8.6</v>
      </c>
      <c r="D43">
        <v>-3.2</v>
      </c>
      <c r="E43">
        <v>0</v>
      </c>
      <c r="F43">
        <v>1.2</v>
      </c>
      <c r="G43">
        <v>1</v>
      </c>
    </row>
    <row r="44" spans="1:8" ht="12.75">
      <c r="A44" s="2" t="s">
        <v>72</v>
      </c>
      <c r="B44">
        <f>B42+B43</f>
        <v>64.59910195086596</v>
      </c>
      <c r="C44">
        <f>C42+C43</f>
        <v>68.9854426566757</v>
      </c>
      <c r="D44">
        <f>D42+D43</f>
        <v>70.48880199422614</v>
      </c>
      <c r="E44">
        <f>E42+E43</f>
        <v>67.89083585510902</v>
      </c>
      <c r="F44">
        <f>F42+F43</f>
        <v>64.42752163744376</v>
      </c>
      <c r="G44">
        <f>G42+G43</f>
        <v>62.019334097920016</v>
      </c>
      <c r="H44" s="2">
        <f>10*LOG10(10^(B44/10)+10^(C44/10)+10^(D44/10)+10*(E44/10)+10^(F44/10)+10^(G44/10))</f>
        <v>74.2086628856429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1999-01-28T08:12:29Z</dcterms:created>
  <dcterms:modified xsi:type="dcterms:W3CDTF">2016-07-15T12:42:12Z</dcterms:modified>
  <cp:category/>
  <cp:version/>
  <cp:contentType/>
  <cp:contentStatus/>
</cp:coreProperties>
</file>