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385" windowWidth="21000" windowHeight="12360" activeTab="0"/>
  </bookViews>
  <sheets>
    <sheet name="Principale" sheetId="1" r:id="rId1"/>
    <sheet name="Calcoli" sheetId="2" r:id="rId2"/>
  </sheets>
  <externalReferences>
    <externalReference r:id="rId5"/>
  </externalReferences>
  <definedNames>
    <definedName name="_Cir1">'Calcoli'!#REF!</definedName>
    <definedName name="_Cir2">#REF!</definedName>
    <definedName name="_Cir3">#REF!</definedName>
    <definedName name="_Cir4">#REF!</definedName>
    <definedName name="_Cir5">#REF!</definedName>
    <definedName name="_Cir6">#REF!</definedName>
    <definedName name="_Crr2">#REF!</definedName>
    <definedName name="_Crr3">#REF!</definedName>
    <definedName name="_Crr4">#REF!</definedName>
    <definedName name="_Lam1">#REF!</definedName>
    <definedName name="_Lam2">#REF!</definedName>
    <definedName name="_Lam3">#REF!</definedName>
    <definedName name="_Lam4">#REF!</definedName>
    <definedName name="_Lam5">#REF!</definedName>
    <definedName name="_Lam6">#REF!</definedName>
    <definedName name="_LL1">'Calcoli'!#REF!</definedName>
    <definedName name="_Lp1">'Calcoli'!#REF!</definedName>
    <definedName name="_Lp2">'Calcoli'!#REF!</definedName>
    <definedName name="_MA1">'Calcoli'!#REF!</definedName>
    <definedName name="_MA2">'Calcoli'!#REF!</definedName>
    <definedName name="_Ni1">#REF!</definedName>
    <definedName name="_Ni2">#REF!</definedName>
    <definedName name="_Ni3">#REF!</definedName>
    <definedName name="_Ni4">#REF!</definedName>
    <definedName name="_Ni5">#REF!</definedName>
    <definedName name="_Ni6">#REF!</definedName>
    <definedName name="_Phi1">'Calcoli'!#REF!</definedName>
    <definedName name="_Phi2">'Calcoli'!#REF!</definedName>
    <definedName name="_Pr1">#REF!</definedName>
    <definedName name="_Pr2">#REF!</definedName>
    <definedName name="_Pr3">#REF!</definedName>
    <definedName name="_Pr4">#REF!</definedName>
    <definedName name="_Pr5">#REF!</definedName>
    <definedName name="_Pr6">#REF!</definedName>
    <definedName name="_Ps1">#REF!</definedName>
    <definedName name="_Ps2">#REF!</definedName>
    <definedName name="_Re1">'Calcoli'!#REF!</definedName>
    <definedName name="_Re2">'Calcoli'!#REF!</definedName>
    <definedName name="_Re3">'Calcoli'!#REF!</definedName>
    <definedName name="_Re4">'Calcoli'!#REF!</definedName>
    <definedName name="_Re5">'Calcoli'!#REF!</definedName>
    <definedName name="_RT1">'Calcoli'!#REF!</definedName>
    <definedName name="_RT2">'Calcoli'!#REF!</definedName>
    <definedName name="_Tit1">'Calcoli'!#REF!</definedName>
    <definedName name="_TT1">'Calcoli'!#REF!</definedName>
    <definedName name="_TT2">'Calcoli'!#REF!</definedName>
    <definedName name="_UU1">'Calcoli'!#REF!</definedName>
    <definedName name="_UU2">'Calcoli'!#REF!</definedName>
    <definedName name="_UU3">'Calcoli'!#REF!</definedName>
    <definedName name="_UU4">'Calcoli'!#REF!</definedName>
    <definedName name="_UU5">'Calcoli'!#REF!</definedName>
    <definedName name="_Vol2">'Calcoli'!#REF!</definedName>
    <definedName name="_xx1">'Calcoli'!#REF!</definedName>
    <definedName name="_xx2">'Calcoli'!#REF!</definedName>
    <definedName name="A">'Calcoli'!$B$3</definedName>
    <definedName name="AB">'Calcoli'!$E$3</definedName>
    <definedName name="B">'Calcoli'!$B$4</definedName>
    <definedName name="CC">'Calcoli'!$B$5</definedName>
    <definedName name="CD">'Calcoli'!$E$4</definedName>
    <definedName name="cpa">'Calcoli'!#REF!</definedName>
    <definedName name="cvn">'Calcoli'!#REF!</definedName>
    <definedName name="cvo">'Calcoli'!#REF!</definedName>
    <definedName name="D">'Calcoli'!$B$6</definedName>
    <definedName name="DD">'Calcoli'!#REF!</definedName>
    <definedName name="Deltap">'Calcoli'!#REF!</definedName>
    <definedName name="DeltaV">'Calcoli'!#REF!</definedName>
    <definedName name="Diam">'Calcoli'!#REF!</definedName>
    <definedName name="Diam1">'Calcoli'!#REF!</definedName>
    <definedName name="Diam2">'Calcoli'!#REF!</definedName>
    <definedName name="Dp">'Calcoli'!#REF!</definedName>
    <definedName name="E">'Calcoli'!$B$7</definedName>
    <definedName name="EF">'Calcoli'!$E$5</definedName>
    <definedName name="F">'Calcoli'!$B$8</definedName>
    <definedName name="freq">'Calcoli'!#REF!</definedName>
    <definedName name="hconv">'Calcoli'!#REF!</definedName>
    <definedName name="Ktot">'Calcoli'!#REF!</definedName>
    <definedName name="L">'Calcoli'!#REF!</definedName>
    <definedName name="lambda1">'Calcoli'!#REF!</definedName>
    <definedName name="lambda2">'Calcoli'!#REF!</definedName>
    <definedName name="lambda3">'Calcoli'!#REF!</definedName>
    <definedName name="Ldir">'Calcoli'!#REF!</definedName>
    <definedName name="Lep">'Calcoli'!#REF!</definedName>
    <definedName name="Leq">'Calcoli'!#REF!</definedName>
    <definedName name="LProsa">'Calcoli'!#REF!</definedName>
    <definedName name="Lw">#REF!</definedName>
    <definedName name="Lw1m">#REF!</definedName>
    <definedName name="Ma">'Calcoli'!#REF!</definedName>
    <definedName name="Mavio">'Calcoli'!#REF!</definedName>
    <definedName name="Mn">'Calcoli'!#REF!</definedName>
    <definedName name="Mo">'Calcoli'!#REF!</definedName>
    <definedName name="Mtot">'Calcoli'!#REF!</definedName>
    <definedName name="mu">'Calcoli'!#REF!</definedName>
    <definedName name="Niacqua">'Calcoli'!#REF!</definedName>
    <definedName name="niaria">#REF!</definedName>
    <definedName name="Nices">#REF!</definedName>
    <definedName name="p">'Calcoli'!#REF!</definedName>
    <definedName name="Phifin">'Calcoli'!#REF!</definedName>
    <definedName name="Pn">'Calcoli'!#REF!</definedName>
    <definedName name="Po">'Calcoli'!#REF!</definedName>
    <definedName name="Portata">'Calcoli'!#REF!</definedName>
    <definedName name="Psfin">#REF!</definedName>
    <definedName name="Q">'Calcoli'!#REF!</definedName>
    <definedName name="Qm">'Calcoli'!#REF!</definedName>
    <definedName name="Qscamb">'Calcoli'!#REF!</definedName>
    <definedName name="Raria">'Calcoli'!#REF!</definedName>
    <definedName name="rho">'Calcoli'!#REF!</definedName>
    <definedName name="Rhoa">'Calcoli'!#REF!</definedName>
    <definedName name="RhoL">'Calcoli'!#REF!</definedName>
    <definedName name="RhoS">'Calcoli'!#REF!</definedName>
    <definedName name="rrrr">'[1]Calcoli'!$G$29</definedName>
    <definedName name="Rtot">'Calcoli'!#REF!</definedName>
    <definedName name="S">'Calcoli'!#REF!</definedName>
    <definedName name="schj">#REF!</definedName>
    <definedName name="Sdiv">'Calcoli'!#REF!</definedName>
    <definedName name="sigma">'Calcoli'!#REF!</definedName>
    <definedName name="spess1">'Calcoli'!#REF!</definedName>
    <definedName name="spess2">'Calcoli'!#REF!</definedName>
    <definedName name="spess3">'Calcoli'!#REF!</definedName>
    <definedName name="T">'Calcoli'!#REF!</definedName>
    <definedName name="Ta">'Calcoli'!#REF!</definedName>
    <definedName name="Tar">'Calcoli'!#REF!</definedName>
    <definedName name="Taria">'Calcoli'!#REF!</definedName>
    <definedName name="Tfin">'Calcoli'!#REF!</definedName>
    <definedName name="Tin">'Calcoli'!#REF!</definedName>
    <definedName name="Tinf">'Calcoli'!#REF!</definedName>
    <definedName name="Tiniz">'Calcoli'!#REF!</definedName>
    <definedName name="Titolo1">'Calcoli'!#REF!</definedName>
    <definedName name="Tmed1">'Calcoli'!#REF!</definedName>
    <definedName name="Tmed2">'Calcoli'!#REF!</definedName>
    <definedName name="Tmed3">'Calcoli'!#REF!</definedName>
    <definedName name="Tmed4">'Calcoli'!#REF!</definedName>
    <definedName name="Tmed5">'Calcoli'!#REF!</definedName>
    <definedName name="Tmed6">'Calcoli'!#REF!</definedName>
    <definedName name="Tn">'Calcoli'!#REF!</definedName>
    <definedName name="To">'Calcoli'!#REF!</definedName>
    <definedName name="Tout">'Calcoli'!#REF!</definedName>
    <definedName name="Tp">'Calcoli'!#REF!</definedName>
    <definedName name="Ua">'Calcoli'!#REF!</definedName>
    <definedName name="Ufin">'Calcoli'!#REF!</definedName>
    <definedName name="V">'Calcoli'!#REF!</definedName>
    <definedName name="Vfin">'Calcoli'!#REF!</definedName>
    <definedName name="Vn">'Calcoli'!#REF!</definedName>
    <definedName name="Vo">'Calcoli'!#REF!</definedName>
    <definedName name="Vol">'Calcoli'!#REF!</definedName>
    <definedName name="W">'Calcoli'!#REF!</definedName>
    <definedName name="XX">'Calcoli'!#REF!</definedName>
    <definedName name="XXX1">'Calcoli'!#REF!</definedName>
  </definedNames>
  <calcPr fullCalcOnLoad="1"/>
</workbook>
</file>

<file path=xl/sharedStrings.xml><?xml version="1.0" encoding="utf-8"?>
<sst xmlns="http://schemas.openxmlformats.org/spreadsheetml/2006/main" count="98" uniqueCount="72">
  <si>
    <t>Matricola</t>
  </si>
  <si>
    <t>A</t>
  </si>
  <si>
    <t>B</t>
  </si>
  <si>
    <t>C</t>
  </si>
  <si>
    <t>D</t>
  </si>
  <si>
    <t>E</t>
  </si>
  <si>
    <t>F</t>
  </si>
  <si>
    <t>AB=</t>
  </si>
  <si>
    <t>CD=</t>
  </si>
  <si>
    <t>EF=</t>
  </si>
  <si>
    <t>1° Esercizio</t>
  </si>
  <si>
    <t>m</t>
  </si>
  <si>
    <t>dB</t>
  </si>
  <si>
    <t>d =</t>
  </si>
  <si>
    <t>Alfa =</t>
  </si>
  <si>
    <t>Ntrains =</t>
  </si>
  <si>
    <t>Nwaggons =</t>
  </si>
  <si>
    <t>Sel, 10 waggons =</t>
  </si>
  <si>
    <t>dB(A)</t>
  </si>
  <si>
    <t>SEL, 1 waggon =</t>
  </si>
  <si>
    <t>N waggons tot =</t>
  </si>
  <si>
    <t>Sel, tot waggons =</t>
  </si>
  <si>
    <t>Sel, 100m =</t>
  </si>
  <si>
    <t>Leq,day =</t>
  </si>
  <si>
    <t>2° esercizio</t>
  </si>
  <si>
    <t>SPLmin =</t>
  </si>
  <si>
    <t>SPLmax =</t>
  </si>
  <si>
    <t>pmin=</t>
  </si>
  <si>
    <t>pmax=</t>
  </si>
  <si>
    <t>pinc =(</t>
  </si>
  <si>
    <t>prif =</t>
  </si>
  <si>
    <t>Lpinc =</t>
  </si>
  <si>
    <t>Lprif =</t>
  </si>
  <si>
    <t>3° esercizio</t>
  </si>
  <si>
    <t>f1 =</t>
  </si>
  <si>
    <t>Hz</t>
  </si>
  <si>
    <t>DeltaL =</t>
  </si>
  <si>
    <t>=10*log10(3+20N)</t>
  </si>
  <si>
    <t>N = (10^(DL/10)-3)/20</t>
  </si>
  <si>
    <t>ABC =</t>
  </si>
  <si>
    <t>ABC /2 =</t>
  </si>
  <si>
    <t>H =</t>
  </si>
  <si>
    <t>N' (1000 Hz)=</t>
  </si>
  <si>
    <t>=2*delta*f/c</t>
  </si>
  <si>
    <t>Delta = N*c/(2*f) =</t>
  </si>
  <si>
    <t>Delta L ' (1000 Hz) =</t>
  </si>
  <si>
    <t>Pa</t>
  </si>
  <si>
    <t>Maekawa</t>
  </si>
  <si>
    <t>Applied Acoustics - 02/02/2018</t>
  </si>
  <si>
    <t>Exercise 1 (tolerance +/- 0.5 dB)</t>
  </si>
  <si>
    <t>Inside a standing wave tube a measurement with a Sound Intensity probe is performed, and the following value is found: the difference between the Energy Density Level and the Sound Intensity Level is equal to 4+F/2 dB.</t>
  </si>
  <si>
    <t>Compute the absorption coefficient of the material placed at the end of the tube and the difference between maximum and minimum values of the Sound Pressure Level which are found if a standard pressure microphone is moved along the tube.</t>
  </si>
  <si>
    <t>Exercise 2 (tolerance +/- 0.5 dB)</t>
  </si>
  <si>
    <r>
      <t>An omnidirectional point source, radiating a pure tone at 1000 Hz, is located outdoors, above the partially absorbing ground (</t>
    </r>
    <r>
      <rPr>
        <sz val="12"/>
        <rFont val="Arial"/>
        <family val="2"/>
      </rPr>
      <t>α</t>
    </r>
    <r>
      <rPr>
        <sz val="12"/>
        <rFont val="Times New Roman"/>
        <family val="1"/>
      </rPr>
      <t>=0.3+F/50), at an height of B/10+1 m. The Sound Power Level Lw is equal to 100+D dB.</t>
    </r>
  </si>
  <si>
    <t>A microphone is located at an horizontal distance of 10+E m, and at an height of C+10 m above the partially absorbing ground.</t>
  </si>
  <si>
    <t>Determine the following values of the SPL at the microphone.</t>
  </si>
  <si>
    <t xml:space="preserve">dB       </t>
  </si>
  <si>
    <t>Delta SPL =</t>
  </si>
  <si>
    <t>- Total SPL</t>
  </si>
  <si>
    <t>if the two waves are in phase</t>
  </si>
  <si>
    <t>if the two waves are in opposite phase</t>
  </si>
  <si>
    <t>I/Edc =</t>
  </si>
  <si>
    <t>r =</t>
  </si>
  <si>
    <t>r' =</t>
  </si>
  <si>
    <t>r = 1- Alfa =</t>
  </si>
  <si>
    <t>rE</t>
  </si>
  <si>
    <t>pinc =</t>
  </si>
  <si>
    <t>pref =</t>
  </si>
  <si>
    <t>pmax =</t>
  </si>
  <si>
    <t>pmin =</t>
  </si>
  <si>
    <r>
      <t>-</t>
    </r>
    <r>
      <rPr>
        <sz val="7"/>
        <rFont val="Times New Roman"/>
        <family val="1"/>
      </rPr>
      <t>  </t>
    </r>
    <r>
      <rPr>
        <sz val="12"/>
        <rFont val="Times New Roman"/>
        <family val="1"/>
      </rPr>
      <t>Direct Sound SPL = Lw -11 - 20*log10(r )</t>
    </r>
  </si>
  <si>
    <r>
      <t>-</t>
    </r>
    <r>
      <rPr>
        <sz val="7"/>
        <rFont val="Times New Roman"/>
        <family val="1"/>
      </rPr>
      <t>  </t>
    </r>
    <r>
      <rPr>
        <sz val="12"/>
        <rFont val="Times New Roman"/>
        <family val="1"/>
      </rPr>
      <t>Reflected Sound SPL = Lw -11 -20log(r')+10log(1-</t>
    </r>
    <r>
      <rPr>
        <sz val="12"/>
        <rFont val="Symbol"/>
        <family val="1"/>
      </rPr>
      <t>a</t>
    </r>
    <r>
      <rPr>
        <sz val="12"/>
        <rFont val="Times New Roman"/>
        <family val="1"/>
      </rPr>
      <t>)</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</si>
</sst>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
    <numFmt numFmtId="185" formatCode="0.000"/>
    <numFmt numFmtId="186" formatCode="&quot;Yes&quot;;&quot;Yes&quot;;&quot;No&quot;"/>
    <numFmt numFmtId="187" formatCode="&quot;True&quot;;&quot;True&quot;;&quot;False&quot;"/>
    <numFmt numFmtId="188" formatCode="&quot;On&quot;;&quot;On&quot;;&quot;Off&quot;"/>
    <numFmt numFmtId="189" formatCode="[$€-2]\ #,##0.00_);[Red]\([$€-2]\ #,##0.00\)"/>
  </numFmts>
  <fonts count="45">
    <font>
      <sz val="10"/>
      <name val="Arial"/>
      <family val="0"/>
    </font>
    <font>
      <b/>
      <sz val="10"/>
      <name val="Arial"/>
      <family val="2"/>
    </font>
    <font>
      <b/>
      <sz val="12"/>
      <color indexed="10"/>
      <name val="Arial"/>
      <family val="2"/>
    </font>
    <font>
      <b/>
      <sz val="10"/>
      <color indexed="12"/>
      <name val="Arial"/>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2"/>
      <name val="Times New Roman"/>
      <family val="1"/>
    </font>
    <font>
      <sz val="7"/>
      <name val="Times New Roman"/>
      <family val="1"/>
    </font>
    <font>
      <sz val="12"/>
      <name val="Arial"/>
      <family val="2"/>
    </font>
    <font>
      <b/>
      <sz val="12"/>
      <name val="Times New Roman"/>
      <family val="1"/>
    </font>
    <font>
      <sz val="12"/>
      <name val="Symbol"/>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2">
    <xf numFmtId="0" fontId="0" fillId="0" borderId="0" xfId="0" applyAlignment="1">
      <alignment/>
    </xf>
    <xf numFmtId="184" fontId="0" fillId="0" borderId="0" xfId="0" applyNumberFormat="1" applyAlignment="1">
      <alignment/>
    </xf>
    <xf numFmtId="0" fontId="1" fillId="0" borderId="0" xfId="0" applyFont="1" applyAlignment="1">
      <alignment/>
    </xf>
    <xf numFmtId="0" fontId="0" fillId="0" borderId="0" xfId="0" applyAlignment="1">
      <alignment horizontal="right"/>
    </xf>
    <xf numFmtId="0" fontId="3" fillId="0" borderId="0" xfId="0" applyFont="1" applyAlignment="1">
      <alignment/>
    </xf>
    <xf numFmtId="2" fontId="1" fillId="0" borderId="0" xfId="0" applyNumberFormat="1" applyFont="1" applyAlignment="1">
      <alignment/>
    </xf>
    <xf numFmtId="0" fontId="0" fillId="0" borderId="0" xfId="0" applyFont="1" applyAlignment="1">
      <alignment/>
    </xf>
    <xf numFmtId="0" fontId="2" fillId="0" borderId="0" xfId="0" applyFont="1" applyAlignment="1">
      <alignment horizontal="left"/>
    </xf>
    <xf numFmtId="0" fontId="0" fillId="0" borderId="0" xfId="0" applyFont="1" applyAlignment="1" quotePrefix="1">
      <alignment/>
    </xf>
    <xf numFmtId="0" fontId="23" fillId="0" borderId="0" xfId="0" applyFont="1" applyAlignment="1">
      <alignment horizontal="justify" vertical="center"/>
    </xf>
    <xf numFmtId="0" fontId="23" fillId="0" borderId="0" xfId="0" applyFont="1" applyAlignment="1">
      <alignment horizontal="left" vertical="center" indent="2"/>
    </xf>
    <xf numFmtId="0" fontId="23" fillId="0" borderId="0" xfId="0" applyFont="1" applyAlignment="1">
      <alignment horizontal="justify" vertical="center" wrapText="1"/>
    </xf>
    <xf numFmtId="0" fontId="0" fillId="0" borderId="0" xfId="0" applyAlignment="1">
      <alignment wrapText="1"/>
    </xf>
    <xf numFmtId="0" fontId="0" fillId="0" borderId="0" xfId="0" applyAlignment="1">
      <alignment horizontal="left"/>
    </xf>
    <xf numFmtId="0" fontId="23" fillId="0" borderId="0" xfId="0" applyFont="1" applyAlignment="1" quotePrefix="1">
      <alignment horizontal="left" vertical="center"/>
    </xf>
    <xf numFmtId="0" fontId="23" fillId="0" borderId="0" xfId="0" applyFont="1" applyAlignment="1">
      <alignment horizontal="left" vertical="center"/>
    </xf>
    <xf numFmtId="0" fontId="23" fillId="0" borderId="0" xfId="0" applyFont="1" applyAlignment="1" quotePrefix="1">
      <alignment vertical="center"/>
    </xf>
    <xf numFmtId="2" fontId="0" fillId="0" borderId="0" xfId="0" applyNumberFormat="1" applyAlignment="1">
      <alignment/>
    </xf>
    <xf numFmtId="2" fontId="0" fillId="0" borderId="0" xfId="0" applyNumberFormat="1" applyFont="1" applyAlignment="1">
      <alignment/>
    </xf>
    <xf numFmtId="0" fontId="26" fillId="0" borderId="0" xfId="0" applyFont="1" applyAlignment="1">
      <alignment horizontal="left" vertical="center"/>
    </xf>
    <xf numFmtId="0" fontId="23" fillId="0" borderId="0" xfId="0" applyFont="1" applyAlignment="1" quotePrefix="1">
      <alignment horizontal="left" vertical="center"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238125</xdr:colOff>
      <xdr:row>13</xdr:row>
      <xdr:rowOff>590550</xdr:rowOff>
    </xdr:from>
    <xdr:to>
      <xdr:col>17</xdr:col>
      <xdr:colOff>238125</xdr:colOff>
      <xdr:row>13</xdr:row>
      <xdr:rowOff>590550</xdr:rowOff>
    </xdr:to>
    <xdr:sp>
      <xdr:nvSpPr>
        <xdr:cNvPr id="1" name="Line 200"/>
        <xdr:cNvSpPr>
          <a:spLocks/>
        </xdr:cNvSpPr>
      </xdr:nvSpPr>
      <xdr:spPr>
        <a:xfrm>
          <a:off x="10687050" y="4000500"/>
          <a:ext cx="0" cy="0"/>
        </a:xfrm>
        <a:prstGeom prst="line">
          <a:avLst/>
        </a:prstGeom>
        <a:noFill/>
        <a:ln w="0"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200025</xdr:colOff>
      <xdr:row>13</xdr:row>
      <xdr:rowOff>590550</xdr:rowOff>
    </xdr:from>
    <xdr:to>
      <xdr:col>17</xdr:col>
      <xdr:colOff>200025</xdr:colOff>
      <xdr:row>13</xdr:row>
      <xdr:rowOff>590550</xdr:rowOff>
    </xdr:to>
    <xdr:sp>
      <xdr:nvSpPr>
        <xdr:cNvPr id="2" name="Line 201"/>
        <xdr:cNvSpPr>
          <a:spLocks/>
        </xdr:cNvSpPr>
      </xdr:nvSpPr>
      <xdr:spPr>
        <a:xfrm rot="16200000">
          <a:off x="10648950" y="40005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rina\My%20Documents\Esami\59%20-%20Esame%20di%20Fisica%20Tecnica%20del%207%20luglio%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ncipale"/>
      <sheetName val="Calcoli"/>
      <sheetName val="Proprietà_H2O"/>
      <sheetName val="Graf_prop_H2O"/>
      <sheetName val="Cr"/>
      <sheetName val="Grafico_Cr"/>
      <sheetName val="Ps"/>
      <sheetName val="Grafico_Ps"/>
      <sheetName val="Ni"/>
      <sheetName val="Grafico_Ni"/>
    </sheetNames>
    <sheetDataSet>
      <sheetData sheetId="1">
        <row r="29">
          <cell r="G29">
            <v>19230.76923076923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2"/>
  <sheetViews>
    <sheetView tabSelected="1" zoomScale="200" zoomScaleNormal="200" zoomScalePageLayoutView="0" workbookViewId="0" topLeftCell="A13">
      <selection activeCell="E22" sqref="E22"/>
    </sheetView>
  </sheetViews>
  <sheetFormatPr defaultColWidth="8.8515625" defaultRowHeight="12.75"/>
  <cols>
    <col min="1" max="1" width="12.8515625" style="3" customWidth="1"/>
    <col min="2" max="2" width="9.421875" style="0" bestFit="1" customWidth="1"/>
    <col min="3" max="3" width="8.8515625" style="1" customWidth="1"/>
    <col min="4" max="4" width="12.00390625" style="0" customWidth="1"/>
    <col min="5" max="5" width="8.8515625" style="0" customWidth="1"/>
    <col min="6" max="6" width="7.8515625" style="0" customWidth="1"/>
    <col min="7" max="7" width="8.8515625" style="0" customWidth="1"/>
    <col min="8" max="8" width="8.28125" style="0" customWidth="1"/>
  </cols>
  <sheetData>
    <row r="1" ht="15.75">
      <c r="A1" s="7" t="s">
        <v>48</v>
      </c>
    </row>
    <row r="3" spans="1:2" ht="12.75">
      <c r="A3" s="13" t="s">
        <v>0</v>
      </c>
      <c r="B3" s="4">
        <v>40792</v>
      </c>
    </row>
    <row r="5" spans="1:3" ht="15.75">
      <c r="A5" s="19" t="s">
        <v>49</v>
      </c>
      <c r="C5"/>
    </row>
    <row r="6" spans="1:9" ht="52.5" customHeight="1">
      <c r="A6" s="11" t="s">
        <v>50</v>
      </c>
      <c r="B6" s="12"/>
      <c r="C6" s="12"/>
      <c r="D6" s="12"/>
      <c r="E6" s="12"/>
      <c r="F6" s="12"/>
      <c r="G6" s="12"/>
      <c r="H6" s="12"/>
      <c r="I6" s="12"/>
    </row>
    <row r="7" spans="1:9" ht="51.75" customHeight="1">
      <c r="A7" s="11" t="s">
        <v>51</v>
      </c>
      <c r="B7" s="12"/>
      <c r="C7" s="12"/>
      <c r="D7" s="12"/>
      <c r="E7" s="12"/>
      <c r="F7" s="12"/>
      <c r="G7" s="12"/>
      <c r="H7" s="12"/>
      <c r="I7" s="12"/>
    </row>
    <row r="8" spans="1:6" ht="15.75">
      <c r="A8" s="9" t="s">
        <v>61</v>
      </c>
      <c r="B8">
        <f>10^(-(4+F/2)/10)</f>
        <v>0.31622776601683794</v>
      </c>
      <c r="C8" s="6" t="s">
        <v>65</v>
      </c>
      <c r="D8" s="2" t="s">
        <v>14</v>
      </c>
      <c r="E8" s="2">
        <f>1-(1-B8)/(1+B8)</f>
        <v>0.4805061467040844</v>
      </c>
      <c r="F8" s="2"/>
    </row>
    <row r="9" spans="1:7" ht="15.75" customHeight="1">
      <c r="A9" s="9" t="s">
        <v>64</v>
      </c>
      <c r="B9">
        <f>1-E8</f>
        <v>0.5194938532959156</v>
      </c>
      <c r="C9"/>
      <c r="D9" s="2" t="s">
        <v>57</v>
      </c>
      <c r="E9" s="5">
        <f>20*LOG10(B11/E11)</f>
        <v>15.794825257619863</v>
      </c>
      <c r="F9" s="2" t="s">
        <v>12</v>
      </c>
      <c r="G9">
        <f>+SQRT(0.52)</f>
        <v>0.7211102550927979</v>
      </c>
    </row>
    <row r="10" spans="1:6" ht="15.75">
      <c r="A10" s="9" t="s">
        <v>66</v>
      </c>
      <c r="B10" s="17">
        <v>1</v>
      </c>
      <c r="C10" s="18" t="s">
        <v>46</v>
      </c>
      <c r="D10" s="18" t="s">
        <v>67</v>
      </c>
      <c r="E10" s="17">
        <f>B10*SQRT(B9)</f>
        <v>0.7207592200561264</v>
      </c>
      <c r="F10" s="6" t="s">
        <v>46</v>
      </c>
    </row>
    <row r="11" spans="1:6" ht="15.75">
      <c r="A11" s="9" t="s">
        <v>68</v>
      </c>
      <c r="B11" s="17">
        <f>B10+E10</f>
        <v>1.7207592200561264</v>
      </c>
      <c r="C11" s="18" t="s">
        <v>12</v>
      </c>
      <c r="D11" s="18" t="s">
        <v>69</v>
      </c>
      <c r="E11" s="17">
        <f>B10-E10</f>
        <v>0.27924077994387364</v>
      </c>
      <c r="F11" s="6" t="s">
        <v>46</v>
      </c>
    </row>
    <row r="12" spans="1:6" ht="15.75">
      <c r="A12" s="9"/>
      <c r="B12" s="17"/>
      <c r="C12" s="18"/>
      <c r="D12" s="18"/>
      <c r="E12" s="17"/>
      <c r="F12" s="6"/>
    </row>
    <row r="13" spans="1:6" ht="15.75">
      <c r="A13" s="19" t="s">
        <v>52</v>
      </c>
      <c r="C13" s="6"/>
      <c r="D13" s="6"/>
      <c r="F13" s="6"/>
    </row>
    <row r="14" spans="1:9" ht="46.5" customHeight="1">
      <c r="A14" s="11" t="s">
        <v>53</v>
      </c>
      <c r="B14" s="12"/>
      <c r="C14" s="12"/>
      <c r="D14" s="12"/>
      <c r="E14" s="12"/>
      <c r="F14" s="12"/>
      <c r="G14" s="12"/>
      <c r="H14" s="12"/>
      <c r="I14" s="12"/>
    </row>
    <row r="15" spans="1:9" ht="33" customHeight="1">
      <c r="A15" s="11" t="s">
        <v>54</v>
      </c>
      <c r="B15" s="12"/>
      <c r="C15" s="12"/>
      <c r="D15" s="12"/>
      <c r="E15" s="12"/>
      <c r="F15" s="12"/>
      <c r="G15" s="12"/>
      <c r="H15" s="12"/>
      <c r="I15" s="12"/>
    </row>
    <row r="16" spans="1:9" ht="12.75">
      <c r="A16" s="11" t="s">
        <v>55</v>
      </c>
      <c r="B16" s="12"/>
      <c r="C16" s="12"/>
      <c r="D16" s="12"/>
      <c r="E16" s="12"/>
      <c r="F16" s="12"/>
      <c r="G16" s="12"/>
      <c r="H16" s="12"/>
      <c r="I16" s="12"/>
    </row>
    <row r="17" spans="1:9" ht="15.75">
      <c r="A17" s="16" t="s">
        <v>70</v>
      </c>
      <c r="C17"/>
      <c r="E17" s="17">
        <f>100+D-11-20*LOG10(H17)</f>
        <v>69.61550680006346</v>
      </c>
      <c r="F17" s="6" t="s">
        <v>56</v>
      </c>
      <c r="G17" s="18" t="s">
        <v>62</v>
      </c>
      <c r="H17" s="18">
        <f>SQRT((10+E)^2+(CC+10-B/10-1)^2)</f>
        <v>20.855694665965935</v>
      </c>
      <c r="I17" s="18" t="s">
        <v>11</v>
      </c>
    </row>
    <row r="18" spans="1:9" ht="33" customHeight="1">
      <c r="A18" s="20" t="s">
        <v>71</v>
      </c>
      <c r="B18" s="21"/>
      <c r="C18" s="21"/>
      <c r="D18" s="21"/>
      <c r="E18" s="17">
        <f>100+D-11-20*LOG10(H18)+10*LOG10(1-0.3-F/50)</f>
        <v>67.28497825265993</v>
      </c>
      <c r="F18" s="6" t="s">
        <v>56</v>
      </c>
      <c r="G18" s="18" t="s">
        <v>63</v>
      </c>
      <c r="H18" s="18">
        <f>SQRT((10+E)^2+(CC+10+B/10+1)^2)</f>
        <v>22.157617200412144</v>
      </c>
      <c r="I18" s="18" t="s">
        <v>11</v>
      </c>
    </row>
    <row r="19" spans="1:5" ht="15.75">
      <c r="A19" s="14" t="s">
        <v>58</v>
      </c>
      <c r="C19"/>
      <c r="E19" s="17"/>
    </row>
    <row r="20" spans="1:10" ht="15.75">
      <c r="A20" s="15" t="s">
        <v>59</v>
      </c>
      <c r="C20"/>
      <c r="E20" s="17">
        <f>20*LOG10(10^(E17/20)+10^(E18/20))</f>
        <v>74.54877269742875</v>
      </c>
      <c r="F20" s="6" t="s">
        <v>56</v>
      </c>
      <c r="J20" s="10"/>
    </row>
    <row r="21" spans="1:5" ht="15.75">
      <c r="A21" s="14" t="s">
        <v>58</v>
      </c>
      <c r="B21" s="10"/>
      <c r="C21"/>
      <c r="E21" s="17"/>
    </row>
    <row r="22" spans="1:8" ht="15.75">
      <c r="A22" s="15" t="s">
        <v>60</v>
      </c>
      <c r="C22"/>
      <c r="D22" s="10"/>
      <c r="E22" s="17">
        <f>20*LOG10(10^(E17/20)-10^(E18/20))</f>
        <v>57.049083850120674</v>
      </c>
      <c r="F22" s="6" t="s">
        <v>56</v>
      </c>
      <c r="H22" s="10"/>
    </row>
  </sheetData>
  <sheetProtection/>
  <mergeCells count="6">
    <mergeCell ref="A6:I6"/>
    <mergeCell ref="A7:I7"/>
    <mergeCell ref="A14:I14"/>
    <mergeCell ref="A15:I15"/>
    <mergeCell ref="A16:I16"/>
    <mergeCell ref="A18:D18"/>
  </mergeCells>
  <printOptions/>
  <pageMargins left="0.75" right="0.75" top="1" bottom="1" header="0.5" footer="0.5"/>
  <pageSetup horizontalDpi="300" verticalDpi="300" orientation="portrait" paperSize="9"/>
  <drawing r:id="rId3"/>
  <legacyDrawing r:id="rId2"/>
  <oleObjects>
    <oleObject progId="" shapeId="68783269" r:id="rId1"/>
  </oleObjects>
</worksheet>
</file>

<file path=xl/worksheets/sheet2.xml><?xml version="1.0" encoding="utf-8"?>
<worksheet xmlns="http://schemas.openxmlformats.org/spreadsheetml/2006/main" xmlns:r="http://schemas.openxmlformats.org/officeDocument/2006/relationships">
  <dimension ref="A2:G37"/>
  <sheetViews>
    <sheetView zoomScale="112" zoomScaleNormal="112" zoomScalePageLayoutView="0" workbookViewId="0" topLeftCell="A11">
      <selection activeCell="B21" sqref="B21"/>
    </sheetView>
  </sheetViews>
  <sheetFormatPr defaultColWidth="8.8515625" defaultRowHeight="12.75"/>
  <cols>
    <col min="1" max="1" width="15.00390625" style="0" customWidth="1"/>
    <col min="2" max="2" width="12.7109375" style="0" bestFit="1" customWidth="1"/>
    <col min="3" max="3" width="11.00390625" style="0" customWidth="1"/>
    <col min="4" max="4" width="10.421875" style="0" bestFit="1" customWidth="1"/>
    <col min="5" max="5" width="12.7109375" style="0" bestFit="1" customWidth="1"/>
    <col min="6" max="6" width="10.28125" style="0" bestFit="1" customWidth="1"/>
    <col min="7" max="9" width="10.140625" style="0" bestFit="1" customWidth="1"/>
    <col min="10" max="13" width="8.8515625" style="0" customWidth="1"/>
    <col min="14" max="14" width="12.28125" style="0" bestFit="1" customWidth="1"/>
    <col min="15" max="20" width="8.8515625" style="0" customWidth="1"/>
    <col min="21" max="21" width="12.28125" style="0" bestFit="1" customWidth="1"/>
  </cols>
  <sheetData>
    <row r="2" spans="1:2" ht="12.75">
      <c r="A2" t="s">
        <v>0</v>
      </c>
      <c r="B2">
        <f>Principale!B3</f>
        <v>40792</v>
      </c>
    </row>
    <row r="3" spans="1:5" ht="12.75">
      <c r="A3" t="s">
        <v>1</v>
      </c>
      <c r="B3">
        <f>INT(B2/100000)</f>
        <v>0</v>
      </c>
      <c r="D3" t="s">
        <v>7</v>
      </c>
      <c r="E3">
        <f>A*10+B</f>
        <v>4</v>
      </c>
    </row>
    <row r="4" spans="1:5" ht="12.75">
      <c r="A4" t="s">
        <v>2</v>
      </c>
      <c r="B4">
        <f>INT((B2-B3*100000)/10000)</f>
        <v>4</v>
      </c>
      <c r="D4" t="s">
        <v>8</v>
      </c>
      <c r="E4">
        <f>CC*10+D</f>
        <v>7</v>
      </c>
    </row>
    <row r="5" spans="1:5" ht="12.75">
      <c r="A5" t="s">
        <v>3</v>
      </c>
      <c r="B5">
        <f>INT((B2-B3*100000-B4*10000)/1000)</f>
        <v>0</v>
      </c>
      <c r="D5" t="s">
        <v>9</v>
      </c>
      <c r="E5">
        <f>E*10+F</f>
        <v>92</v>
      </c>
    </row>
    <row r="6" spans="1:2" ht="12.75">
      <c r="A6" t="s">
        <v>4</v>
      </c>
      <c r="B6">
        <f>INT((B2-B3*100000-B4*10000-B5*1000)/100)</f>
        <v>7</v>
      </c>
    </row>
    <row r="7" spans="1:2" ht="12.75">
      <c r="A7" t="s">
        <v>5</v>
      </c>
      <c r="B7">
        <f>INT((B2-B3*100000-B4*10000-B5*1000-B6*100)/10)</f>
        <v>9</v>
      </c>
    </row>
    <row r="8" spans="1:2" ht="12.75">
      <c r="A8" t="s">
        <v>6</v>
      </c>
      <c r="B8">
        <f>INT((B2-B3*100000-B4*10000-B5*1000-B6*100-B7*10))</f>
        <v>2</v>
      </c>
    </row>
    <row r="10" ht="12.75">
      <c r="A10" s="2" t="s">
        <v>10</v>
      </c>
    </row>
    <row r="11" spans="1:2" ht="12.75">
      <c r="A11" t="s">
        <v>15</v>
      </c>
      <c r="B11">
        <f>90+F</f>
        <v>92</v>
      </c>
    </row>
    <row r="12" spans="1:2" ht="12.75">
      <c r="A12" t="s">
        <v>16</v>
      </c>
      <c r="B12">
        <f>5+E</f>
        <v>14</v>
      </c>
    </row>
    <row r="13" spans="1:3" ht="12.75">
      <c r="A13" t="s">
        <v>17</v>
      </c>
      <c r="B13">
        <f>95+D</f>
        <v>102</v>
      </c>
      <c r="C13" t="s">
        <v>18</v>
      </c>
    </row>
    <row r="14" spans="1:3" ht="12.75">
      <c r="A14" s="2" t="s">
        <v>19</v>
      </c>
      <c r="B14" s="2">
        <f>B13-10</f>
        <v>92</v>
      </c>
      <c r="C14" s="2" t="s">
        <v>18</v>
      </c>
    </row>
    <row r="15" spans="1:2" ht="12.75">
      <c r="A15" t="s">
        <v>20</v>
      </c>
      <c r="B15">
        <f>B11*B12</f>
        <v>1288</v>
      </c>
    </row>
    <row r="16" spans="1:3" ht="12.75">
      <c r="A16" s="2" t="s">
        <v>21</v>
      </c>
      <c r="B16" s="2">
        <f>B14+10*LOG10(B15)</f>
        <v>123.09915863023794</v>
      </c>
      <c r="C16" s="2" t="s">
        <v>18</v>
      </c>
    </row>
    <row r="17" spans="1:3" ht="12.75">
      <c r="A17" s="6" t="s">
        <v>22</v>
      </c>
      <c r="B17">
        <f>B16+10*LOG10(7.5/100)</f>
        <v>111.84977126415494</v>
      </c>
      <c r="C17" s="6" t="s">
        <v>18</v>
      </c>
    </row>
    <row r="18" spans="1:3" ht="12.75">
      <c r="A18" s="2" t="s">
        <v>23</v>
      </c>
      <c r="B18" s="2">
        <f>B17-10*LOG10(16*3600)</f>
        <v>64.24554642992283</v>
      </c>
      <c r="C18" s="2" t="s">
        <v>18</v>
      </c>
    </row>
    <row r="20" ht="12.75">
      <c r="A20" s="2" t="s">
        <v>24</v>
      </c>
    </row>
    <row r="21" spans="1:7" ht="12.75">
      <c r="A21" s="6" t="s">
        <v>25</v>
      </c>
      <c r="B21">
        <f>78+F/10</f>
        <v>78.2</v>
      </c>
      <c r="C21" s="6" t="s">
        <v>12</v>
      </c>
      <c r="D21" s="6" t="s">
        <v>27</v>
      </c>
      <c r="E21" s="6">
        <f>0.00002*10^(B21/20)</f>
        <v>0.16256610323282014</v>
      </c>
      <c r="F21" s="6" t="s">
        <v>46</v>
      </c>
      <c r="G21">
        <f>B23-B24</f>
        <v>0.16256610323282017</v>
      </c>
    </row>
    <row r="22" spans="1:7" ht="12.75">
      <c r="A22" s="2" t="s">
        <v>26</v>
      </c>
      <c r="B22">
        <f>81+E/10</f>
        <v>81.9</v>
      </c>
      <c r="C22" s="6" t="s">
        <v>12</v>
      </c>
      <c r="D22" s="6" t="s">
        <v>28</v>
      </c>
      <c r="E22" s="6">
        <f>0.00002*10^(B22/20)</f>
        <v>0.24890292235427747</v>
      </c>
      <c r="F22" s="6" t="s">
        <v>46</v>
      </c>
      <c r="G22">
        <f>B23+B24</f>
        <v>0.24890292235427747</v>
      </c>
    </row>
    <row r="23" spans="1:5" ht="12.75">
      <c r="A23" s="6" t="s">
        <v>29</v>
      </c>
      <c r="B23">
        <f>(E22+E21)/2</f>
        <v>0.20573451279354882</v>
      </c>
      <c r="C23" s="2" t="s">
        <v>31</v>
      </c>
      <c r="D23" s="2">
        <f>20*LOG10(B23/0.00002)</f>
        <v>80.24554313583258</v>
      </c>
      <c r="E23" s="2" t="s">
        <v>12</v>
      </c>
    </row>
    <row r="24" spans="1:5" ht="12.75">
      <c r="A24" s="2" t="s">
        <v>30</v>
      </c>
      <c r="B24">
        <f>(E22-E21)/2</f>
        <v>0.04316840956072866</v>
      </c>
      <c r="C24" s="2" t="s">
        <v>32</v>
      </c>
      <c r="D24" s="2">
        <f>20*LOG10(B24/0.00002)</f>
        <v>66.68272105441457</v>
      </c>
      <c r="E24" s="2" t="s">
        <v>12</v>
      </c>
    </row>
    <row r="25" spans="1:2" ht="12.75">
      <c r="A25" s="2" t="s">
        <v>14</v>
      </c>
      <c r="B25" s="2">
        <f>1-(B24/B23)^2</f>
        <v>0.9559731319690754</v>
      </c>
    </row>
    <row r="27" ht="12.75">
      <c r="A27" s="2" t="s">
        <v>33</v>
      </c>
    </row>
    <row r="28" spans="1:3" ht="12.75">
      <c r="A28" s="2" t="s">
        <v>34</v>
      </c>
      <c r="B28">
        <v>400</v>
      </c>
      <c r="C28" s="6" t="s">
        <v>35</v>
      </c>
    </row>
    <row r="29" spans="1:6" ht="12.75">
      <c r="A29" s="2" t="s">
        <v>36</v>
      </c>
      <c r="B29">
        <f>5+F</f>
        <v>7</v>
      </c>
      <c r="C29" s="6" t="s">
        <v>12</v>
      </c>
      <c r="D29" s="8" t="s">
        <v>37</v>
      </c>
      <c r="F29" s="6" t="s">
        <v>47</v>
      </c>
    </row>
    <row r="30" spans="1:3" ht="12.75">
      <c r="A30" s="2" t="s">
        <v>13</v>
      </c>
      <c r="B30">
        <f>10+F</f>
        <v>12</v>
      </c>
      <c r="C30" s="6" t="s">
        <v>11</v>
      </c>
    </row>
    <row r="31" spans="1:4" ht="12.75">
      <c r="A31" s="2" t="s">
        <v>38</v>
      </c>
      <c r="C31" s="2">
        <f>(10^(B29/10)-3)/20</f>
        <v>0.10059361681363614</v>
      </c>
      <c r="D31" s="8" t="s">
        <v>43</v>
      </c>
    </row>
    <row r="32" spans="1:4" ht="12.75">
      <c r="A32" s="2" t="s">
        <v>44</v>
      </c>
      <c r="C32">
        <f>C31*340/(2*400)</f>
        <v>0.04275228714579536</v>
      </c>
      <c r="D32" s="6" t="s">
        <v>11</v>
      </c>
    </row>
    <row r="33" spans="1:4" ht="12.75">
      <c r="A33" s="2" t="s">
        <v>39</v>
      </c>
      <c r="C33">
        <f>C32+B30</f>
        <v>12.042752287145795</v>
      </c>
      <c r="D33" s="6" t="s">
        <v>11</v>
      </c>
    </row>
    <row r="34" spans="1:3" ht="12.75">
      <c r="A34" s="2" t="s">
        <v>40</v>
      </c>
      <c r="C34">
        <f>C33/2</f>
        <v>6.021376143572898</v>
      </c>
    </row>
    <row r="35" spans="1:4" ht="12.75">
      <c r="A35" s="2" t="s">
        <v>41</v>
      </c>
      <c r="C35" s="2">
        <f>SQRT(C34^2-(B30/2)^2)</f>
        <v>0.5069227380862134</v>
      </c>
      <c r="D35" s="2" t="s">
        <v>11</v>
      </c>
    </row>
    <row r="36" spans="1:3" ht="12.75">
      <c r="A36" s="2" t="s">
        <v>42</v>
      </c>
      <c r="C36">
        <f>2*C32*1000/340</f>
        <v>0.25148404203409036</v>
      </c>
    </row>
    <row r="37" spans="1:4" ht="12.75">
      <c r="A37" s="2" t="s">
        <v>45</v>
      </c>
      <c r="C37" s="2">
        <f>10*LOG10(3+20*C36)</f>
        <v>9.04698283524586</v>
      </c>
      <c r="D37" s="2" t="s">
        <v>12</v>
      </c>
    </row>
  </sheetData>
  <sheetProtection/>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UNIPR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Angelo Farina</dc:creator>
  <cp:keywords/>
  <dc:description/>
  <cp:lastModifiedBy>Angelo Farina</cp:lastModifiedBy>
  <dcterms:created xsi:type="dcterms:W3CDTF">1999-01-28T08:12:29Z</dcterms:created>
  <dcterms:modified xsi:type="dcterms:W3CDTF">2018-02-02T10:49:13Z</dcterms:modified>
  <cp:category/>
  <cp:version/>
  <cp:contentType/>
  <cp:contentStatus/>
</cp:coreProperties>
</file>