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1-09\"/>
    </mc:Choice>
  </mc:AlternateContent>
  <xr:revisionPtr revIDLastSave="0" documentId="13_ncr:1_{2C21C3A7-7991-4D75-8B0F-3663D6F0B1AF}" xr6:coauthVersionLast="47" xr6:coauthVersionMax="47" xr10:uidLastSave="{00000000-0000-0000-0000-000000000000}"/>
  <bookViews>
    <workbookView xWindow="18300" yWindow="1536" windowWidth="16476" windowHeight="9360" activeTab="1" xr2:uid="{88A5617D-B653-4BBD-8F74-3258A2629EB1}"/>
  </bookViews>
  <sheets>
    <sheet name="Glaser-1" sheetId="1" r:id="rId1"/>
    <sheet name="Glaser-2" sheetId="2" r:id="rId2"/>
  </sheets>
  <definedNames>
    <definedName name="Dv_1">'Glaser-1'!$K$5</definedName>
    <definedName name="Dv_2">'Glaser-1'!$K$6</definedName>
    <definedName name="Dv_3">'Glaser-1'!$K$7</definedName>
    <definedName name="hin">'Glaser-1'!$E$8</definedName>
    <definedName name="hout">'Glaser-1'!$H$8</definedName>
    <definedName name="jp">'Glaser-2'!$L$31</definedName>
    <definedName name="jpunto">'Glaser-1'!$D$35</definedName>
    <definedName name="Lam_1">'Glaser-1'!$H$5</definedName>
    <definedName name="Lam_2">'Glaser-1'!$H$6</definedName>
    <definedName name="Lam_3">'Glaser-1'!$H$7</definedName>
    <definedName name="Mu_1">'Glaser-1'!$O$5</definedName>
    <definedName name="Mu_2">'Glaser-1'!$O$6</definedName>
    <definedName name="Mu_3">'Glaser-1'!$O$7</definedName>
    <definedName name="Phi_1">'Glaser-2'!$B$10</definedName>
    <definedName name="Phi_2">'Glaser-2'!$H$10</definedName>
    <definedName name="Phiin">'Glaser-1'!$H$3</definedName>
    <definedName name="Phiout">'Glaser-1'!$H$4</definedName>
    <definedName name="qp">'Glaser-2'!$I$31</definedName>
    <definedName name="qpunto">'Glaser-1'!$D$27</definedName>
    <definedName name="S">'Glaser-1'!$E$9</definedName>
    <definedName name="s_1">'Glaser-1'!$E$5</definedName>
    <definedName name="s_2">'Glaser-1'!$E$6</definedName>
    <definedName name="s_3">'Glaser-1'!$E$7</definedName>
    <definedName name="Tin">'Glaser-1'!$E$3</definedName>
    <definedName name="Tout">'Glaser-1'!$E$4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2" l="1"/>
  <c r="M29" i="2"/>
  <c r="M28" i="2" s="1"/>
  <c r="M23" i="2"/>
  <c r="M24" i="2" s="1"/>
  <c r="L27" i="2"/>
  <c r="L30" i="2" s="1"/>
  <c r="L26" i="2"/>
  <c r="L25" i="2"/>
  <c r="J23" i="2"/>
  <c r="I29" i="2"/>
  <c r="I27" i="2"/>
  <c r="I30" i="2" s="1"/>
  <c r="I31" i="2" s="1"/>
  <c r="J24" i="2" s="1"/>
  <c r="J25" i="2" s="1"/>
  <c r="J26" i="2" s="1"/>
  <c r="I26" i="2"/>
  <c r="I25" i="2"/>
  <c r="I24" i="2"/>
  <c r="H26" i="2"/>
  <c r="H27" i="2" s="1"/>
  <c r="H28" i="2" s="1"/>
  <c r="H29" i="2" s="1"/>
  <c r="H25" i="2"/>
  <c r="D46" i="1"/>
  <c r="D45" i="1"/>
  <c r="D44" i="1"/>
  <c r="D43" i="1"/>
  <c r="C42" i="1"/>
  <c r="L24" i="1"/>
  <c r="L23" i="1"/>
  <c r="L22" i="1"/>
  <c r="L21" i="1"/>
  <c r="K21" i="1"/>
  <c r="K22" i="1" s="1"/>
  <c r="K23" i="1" s="1"/>
  <c r="K24" i="1" s="1"/>
  <c r="O20" i="1"/>
  <c r="O24" i="1"/>
  <c r="O19" i="1"/>
  <c r="C33" i="1"/>
  <c r="C32" i="1"/>
  <c r="C31" i="1"/>
  <c r="I19" i="1"/>
  <c r="C24" i="1"/>
  <c r="C23" i="1"/>
  <c r="C22" i="1"/>
  <c r="C21" i="1"/>
  <c r="C20" i="1"/>
  <c r="J27" i="2" l="1"/>
  <c r="J28" i="2" s="1"/>
  <c r="J29" i="2" s="1"/>
  <c r="L31" i="2"/>
  <c r="M25" i="2" s="1"/>
  <c r="M26" i="2" s="1"/>
  <c r="M27" i="2" s="1"/>
  <c r="C25" i="1"/>
  <c r="D27" i="1" s="1"/>
  <c r="C34" i="1"/>
  <c r="D35" i="1" s="1"/>
  <c r="O21" i="1" s="1"/>
  <c r="O22" i="1" s="1"/>
  <c r="O23" i="1" s="1"/>
  <c r="C26" i="1" l="1"/>
  <c r="I20" i="1"/>
  <c r="I21" i="1" s="1"/>
  <c r="I22" i="1" s="1"/>
  <c r="I23" i="1" s="1"/>
  <c r="I24" i="1" s="1"/>
  <c r="D28" i="1"/>
</calcChain>
</file>

<file path=xl/sharedStrings.xml><?xml version="1.0" encoding="utf-8"?>
<sst xmlns="http://schemas.openxmlformats.org/spreadsheetml/2006/main" count="118" uniqueCount="87">
  <si>
    <t>Diagramma di Glaser - parete multistrato</t>
  </si>
  <si>
    <t>Tin =</t>
  </si>
  <si>
    <t>Tout =</t>
  </si>
  <si>
    <t>s1 =</t>
  </si>
  <si>
    <t>W/mK</t>
  </si>
  <si>
    <t>m</t>
  </si>
  <si>
    <t>Lambda1=</t>
  </si>
  <si>
    <t>s2 =</t>
  </si>
  <si>
    <t>s3 =</t>
  </si>
  <si>
    <t>Lambda2=</t>
  </si>
  <si>
    <t>Lambda3=</t>
  </si>
  <si>
    <t>°C</t>
  </si>
  <si>
    <t>W/m2K</t>
  </si>
  <si>
    <t>hout =</t>
  </si>
  <si>
    <t>hin =</t>
  </si>
  <si>
    <t>S =</t>
  </si>
  <si>
    <t>m2</t>
  </si>
  <si>
    <t>R1 = 1/hin =</t>
  </si>
  <si>
    <t>m2K/W</t>
  </si>
  <si>
    <t>R2 = s1/Lambda1 =</t>
  </si>
  <si>
    <t>R3 = s2/Lambda2 =</t>
  </si>
  <si>
    <t>R4 = s3/Lambda3 =</t>
  </si>
  <si>
    <t>R5 = 1/hout =</t>
  </si>
  <si>
    <t>Rtot =</t>
  </si>
  <si>
    <t>U = 1/Rtot =</t>
  </si>
  <si>
    <t>qpunto =DeltaT/Rtot =</t>
  </si>
  <si>
    <t>W/m2</t>
  </si>
  <si>
    <t>Qpunto = S*DeltaT/Rtot =</t>
  </si>
  <si>
    <t>W</t>
  </si>
  <si>
    <t>Tpin = Tin - qpunto*R1 =</t>
  </si>
  <si>
    <t>Ta = Tpin - qpunto*R2 =</t>
  </si>
  <si>
    <t>Tb = Ta - qpunto*R3 =</t>
  </si>
  <si>
    <t>Tpout = Tb - qpunto*R4 =</t>
  </si>
  <si>
    <t>Tout = Tpout - qpunto*R5 =</t>
  </si>
  <si>
    <t>psat(T)</t>
  </si>
  <si>
    <t>Calcolo diffusione del vapore</t>
  </si>
  <si>
    <t>Phiin =</t>
  </si>
  <si>
    <t>Phiout =</t>
  </si>
  <si>
    <t>Dv1 =</t>
  </si>
  <si>
    <t>Dv2 =</t>
  </si>
  <si>
    <t>Dv3 =</t>
  </si>
  <si>
    <t>kg/(mhPa)</t>
  </si>
  <si>
    <t>R1 = s1/Dv1 =</t>
  </si>
  <si>
    <t>R2 = s2/Dv2 =</t>
  </si>
  <si>
    <t>R3 = s3/Dv3 =</t>
  </si>
  <si>
    <t>m2hPa/kg</t>
  </si>
  <si>
    <t>Rdtot =</t>
  </si>
  <si>
    <t>jpunto = Deltap/Rdtot =</t>
  </si>
  <si>
    <t>kg/m2h</t>
  </si>
  <si>
    <t>pvin =</t>
  </si>
  <si>
    <t>pv (Pa)</t>
  </si>
  <si>
    <t>condensa!</t>
  </si>
  <si>
    <t>x (m)</t>
  </si>
  <si>
    <t>Intonaco in gesso</t>
  </si>
  <si>
    <t>Intonaco per seterno</t>
  </si>
  <si>
    <t>Laterizio Forato</t>
  </si>
  <si>
    <r>
      <t xml:space="preserve">coeff. </t>
    </r>
    <r>
      <rPr>
        <sz val="11"/>
        <color theme="1"/>
        <rFont val="Symbol"/>
        <family val="1"/>
        <charset val="2"/>
      </rPr>
      <t>m</t>
    </r>
  </si>
  <si>
    <t>x' (m aria)</t>
  </si>
  <si>
    <t>pva = pvin - jpunto*Rd1 =</t>
  </si>
  <si>
    <t>pvb = pva - jpunto*Rd2 =</t>
  </si>
  <si>
    <t>pvout = pvb -jpunto*Rd3 =</t>
  </si>
  <si>
    <t>pvb = psat(Tb) =</t>
  </si>
  <si>
    <t>Pa</t>
  </si>
  <si>
    <t>j_in = (pvin-pvb)/(Rd1+Rd2) =</t>
  </si>
  <si>
    <t>j_out = (pvb-pvout)/Rd3 =</t>
  </si>
  <si>
    <t>Portata condensata =</t>
  </si>
  <si>
    <t>kg/m2 intero inverno</t>
  </si>
  <si>
    <t>Parete multistrato correttamnete progettata</t>
  </si>
  <si>
    <t>Strati</t>
  </si>
  <si>
    <t>Intonaco Interno</t>
  </si>
  <si>
    <t>Laterizio Poroton</t>
  </si>
  <si>
    <t>Isolante termico(Lana roccia)</t>
  </si>
  <si>
    <t>Intonaco Esterno Traspirante</t>
  </si>
  <si>
    <t>s (m)</t>
  </si>
  <si>
    <t>Lambda</t>
  </si>
  <si>
    <t>Dv</t>
  </si>
  <si>
    <t>Mu</t>
  </si>
  <si>
    <t>Rt</t>
  </si>
  <si>
    <t>qpunto =</t>
  </si>
  <si>
    <t>T(x)</t>
  </si>
  <si>
    <t>Psat(T)</t>
  </si>
  <si>
    <t>Rd</t>
  </si>
  <si>
    <t>pv(x)</t>
  </si>
  <si>
    <t>Phi1 =</t>
  </si>
  <si>
    <t>Phi2 =</t>
  </si>
  <si>
    <t>jpunto =</t>
  </si>
  <si>
    <t>U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</si>
</sst>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9" fontId="0" fillId="0" borderId="0" xfId="0" applyNumberFormat="1"/>
    <xf numFmtId="11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Pressioni parziali del vapore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81714785651792"/>
          <c:y val="0.14019370560937922"/>
          <c:w val="0.80280796150481193"/>
          <c:h val="0.68110212551161564"/>
        </c:manualLayout>
      </c:layout>
      <c:scatterChart>
        <c:scatterStyle val="lineMarker"/>
        <c:varyColors val="0"/>
        <c:ser>
          <c:idx val="0"/>
          <c:order val="0"/>
          <c:tx>
            <c:v>psat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'Glaser-1'!$K$19:$K$24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0.23</c:v>
                </c:pt>
                <c:pt idx="3">
                  <c:v>0.48</c:v>
                </c:pt>
                <c:pt idx="4">
                  <c:v>0.5</c:v>
                </c:pt>
                <c:pt idx="5">
                  <c:v>0.7</c:v>
                </c:pt>
              </c:numCache>
            </c:numRef>
          </c:xVal>
          <c:yVal>
            <c:numRef>
              <c:f>'Glaser-1'!$M$19:$M$24</c:f>
              <c:numCache>
                <c:formatCode>General</c:formatCode>
                <c:ptCount val="6"/>
                <c:pt idx="0">
                  <c:v>2338.8000000000002</c:v>
                </c:pt>
                <c:pt idx="1">
                  <c:v>1950.6</c:v>
                </c:pt>
                <c:pt idx="2">
                  <c:v>1807.1</c:v>
                </c:pt>
                <c:pt idx="3">
                  <c:v>676.7</c:v>
                </c:pt>
                <c:pt idx="4">
                  <c:v>666.9</c:v>
                </c:pt>
                <c:pt idx="5">
                  <c:v>611.20000000000005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2C-4764-A206-3FBE6A2DABC0}"/>
            </c:ext>
          </c:extLst>
        </c:ser>
        <c:ser>
          <c:idx val="1"/>
          <c:order val="1"/>
          <c:tx>
            <c:v>pv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'Glaser-1'!$K$19:$K$24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0.23</c:v>
                </c:pt>
                <c:pt idx="3">
                  <c:v>0.48</c:v>
                </c:pt>
                <c:pt idx="4">
                  <c:v>0.5</c:v>
                </c:pt>
                <c:pt idx="5">
                  <c:v>0.7</c:v>
                </c:pt>
              </c:numCache>
            </c:numRef>
          </c:xVal>
          <c:yVal>
            <c:numRef>
              <c:f>'Glaser-1'!$O$19:$O$24</c:f>
              <c:numCache>
                <c:formatCode>General</c:formatCode>
                <c:ptCount val="6"/>
                <c:pt idx="0">
                  <c:v>1637.16</c:v>
                </c:pt>
                <c:pt idx="1">
                  <c:v>1637.16</c:v>
                </c:pt>
                <c:pt idx="2">
                  <c:v>1534.5335664335666</c:v>
                </c:pt>
                <c:pt idx="3">
                  <c:v>679.31328671328708</c:v>
                </c:pt>
                <c:pt idx="4">
                  <c:v>550.08000000000038</c:v>
                </c:pt>
                <c:pt idx="5">
                  <c:v>550.08000000000004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2C-4764-A206-3FBE6A2DA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479104"/>
        <c:axId val="1099471616"/>
      </c:scatterChart>
      <c:valAx>
        <c:axId val="1099479104"/>
        <c:scaling>
          <c:orientation val="minMax"/>
          <c:max val="0.70000000000000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x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471616"/>
        <c:crosses val="autoZero"/>
        <c:crossBetween val="midCat"/>
      </c:valAx>
      <c:valAx>
        <c:axId val="10994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pv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479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938320209973747"/>
          <c:y val="0.9324351834435336"/>
          <c:w val="0.21249855739042864"/>
          <c:h val="6.2801385935752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Diagramma di Glaser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81714785651792"/>
          <c:y val="0.14019370560937922"/>
          <c:w val="0.80280796150481193"/>
          <c:h val="0.68110212551161564"/>
        </c:manualLayout>
      </c:layout>
      <c:scatterChart>
        <c:scatterStyle val="lineMarker"/>
        <c:varyColors val="0"/>
        <c:ser>
          <c:idx val="0"/>
          <c:order val="0"/>
          <c:tx>
            <c:v>psat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'Glaser-1'!$L$19:$L$24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0.44</c:v>
                </c:pt>
                <c:pt idx="3">
                  <c:v>2.44</c:v>
                </c:pt>
                <c:pt idx="4">
                  <c:v>2.7399999999999998</c:v>
                </c:pt>
                <c:pt idx="5">
                  <c:v>2.94</c:v>
                </c:pt>
              </c:numCache>
            </c:numRef>
          </c:xVal>
          <c:yVal>
            <c:numRef>
              <c:f>'Glaser-1'!$M$19:$M$24</c:f>
              <c:numCache>
                <c:formatCode>General</c:formatCode>
                <c:ptCount val="6"/>
                <c:pt idx="0">
                  <c:v>2338.8000000000002</c:v>
                </c:pt>
                <c:pt idx="1">
                  <c:v>1950.6</c:v>
                </c:pt>
                <c:pt idx="2">
                  <c:v>1807.1</c:v>
                </c:pt>
                <c:pt idx="3">
                  <c:v>676.7</c:v>
                </c:pt>
                <c:pt idx="4">
                  <c:v>666.9</c:v>
                </c:pt>
                <c:pt idx="5">
                  <c:v>611.20000000000005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F5-4F26-8DAB-17D655401260}"/>
            </c:ext>
          </c:extLst>
        </c:ser>
        <c:ser>
          <c:idx val="1"/>
          <c:order val="1"/>
          <c:tx>
            <c:v>pv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'Glaser-1'!$L$19:$L$24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0.44</c:v>
                </c:pt>
                <c:pt idx="3">
                  <c:v>2.44</c:v>
                </c:pt>
                <c:pt idx="4">
                  <c:v>2.7399999999999998</c:v>
                </c:pt>
                <c:pt idx="5">
                  <c:v>2.94</c:v>
                </c:pt>
              </c:numCache>
            </c:numRef>
          </c:xVal>
          <c:yVal>
            <c:numRef>
              <c:f>'Glaser-1'!$O$19:$O$24</c:f>
              <c:numCache>
                <c:formatCode>General</c:formatCode>
                <c:ptCount val="6"/>
                <c:pt idx="0">
                  <c:v>1637.16</c:v>
                </c:pt>
                <c:pt idx="1">
                  <c:v>1637.16</c:v>
                </c:pt>
                <c:pt idx="2">
                  <c:v>1534.5335664335666</c:v>
                </c:pt>
                <c:pt idx="3">
                  <c:v>679.31328671328708</c:v>
                </c:pt>
                <c:pt idx="4">
                  <c:v>550.08000000000038</c:v>
                </c:pt>
                <c:pt idx="5">
                  <c:v>550.08000000000004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F5-4F26-8DAB-17D65540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479104"/>
        <c:axId val="1099471616"/>
      </c:scatterChart>
      <c:valAx>
        <c:axId val="1099479104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x (m di aria equivalente)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471616"/>
        <c:crosses val="autoZero"/>
        <c:crossBetween val="midCat"/>
      </c:valAx>
      <c:valAx>
        <c:axId val="10994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pv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479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938320209973747"/>
          <c:y val="0.9324351834435336"/>
          <c:w val="0.21285317276516905"/>
          <c:h val="6.3784991654622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3.emf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</xdr:row>
      <xdr:rowOff>52389</xdr:rowOff>
    </xdr:from>
    <xdr:to>
      <xdr:col>2</xdr:col>
      <xdr:colOff>556423</xdr:colOff>
      <xdr:row>11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12F33A-9C84-17BA-457F-587D4F512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33364"/>
          <a:ext cx="1613697" cy="1871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12</xdr:row>
      <xdr:rowOff>1</xdr:rowOff>
    </xdr:from>
    <xdr:to>
      <xdr:col>6</xdr:col>
      <xdr:colOff>282610</xdr:colOff>
      <xdr:row>18</xdr:row>
      <xdr:rowOff>21721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9D2EFC-07EB-CF19-F470-3EAD06B0C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171701"/>
          <a:ext cx="4167188" cy="1107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595313</xdr:colOff>
      <xdr:row>6</xdr:row>
      <xdr:rowOff>85725</xdr:rowOff>
    </xdr:from>
    <xdr:to>
      <xdr:col>1</xdr:col>
      <xdr:colOff>247651</xdr:colOff>
      <xdr:row>7</xdr:row>
      <xdr:rowOff>166687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A4591F-05AD-501A-AA24-EF4FED52167A}"/>
            </a:ext>
          </a:extLst>
        </xdr:cNvPr>
        <xdr:cNvSpPr txBox="1"/>
      </xdr:nvSpPr>
      <xdr:spPr>
        <a:xfrm>
          <a:off x="595313" y="1171575"/>
          <a:ext cx="261938" cy="261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A</a:t>
          </a:r>
        </a:p>
      </xdr:txBody>
    </xdr:sp>
    <xdr:clientData/>
  </xdr:twoCellAnchor>
  <xdr:twoCellAnchor>
    <xdr:from>
      <xdr:col>1</xdr:col>
      <xdr:colOff>395288</xdr:colOff>
      <xdr:row>6</xdr:row>
      <xdr:rowOff>90488</xdr:rowOff>
    </xdr:from>
    <xdr:to>
      <xdr:col>2</xdr:col>
      <xdr:colOff>47626</xdr:colOff>
      <xdr:row>7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84E472D-139A-4E4B-B6A5-874C214C9D22}"/>
            </a:ext>
          </a:extLst>
        </xdr:cNvPr>
        <xdr:cNvSpPr txBox="1"/>
      </xdr:nvSpPr>
      <xdr:spPr>
        <a:xfrm>
          <a:off x="1004888" y="1176338"/>
          <a:ext cx="261938" cy="261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B</a:t>
          </a:r>
        </a:p>
      </xdr:txBody>
    </xdr:sp>
    <xdr:clientData/>
  </xdr:twoCellAnchor>
  <xdr:twoCellAnchor>
    <xdr:from>
      <xdr:col>5</xdr:col>
      <xdr:colOff>552450</xdr:colOff>
      <xdr:row>24</xdr:row>
      <xdr:rowOff>97631</xdr:rowOff>
    </xdr:from>
    <xdr:to>
      <xdr:col>13</xdr:col>
      <xdr:colOff>857250</xdr:colOff>
      <xdr:row>43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6DED747-F9AB-2209-9FAA-7EA519D3E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890587</xdr:colOff>
      <xdr:row>24</xdr:row>
      <xdr:rowOff>90487</xdr:rowOff>
    </xdr:from>
    <xdr:to>
      <xdr:col>21</xdr:col>
      <xdr:colOff>328612</xdr:colOff>
      <xdr:row>43</xdr:row>
      <xdr:rowOff>11906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BA381A7-FADC-4742-A53C-8261B6D47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81064</xdr:colOff>
      <xdr:row>36</xdr:row>
      <xdr:rowOff>32426</xdr:rowOff>
    </xdr:from>
    <xdr:to>
      <xdr:col>5</xdr:col>
      <xdr:colOff>507784</xdr:colOff>
      <xdr:row>39</xdr:row>
      <xdr:rowOff>123866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E725B19-B51B-69A4-7B5C-A88526C8C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4098"/>
        <a:stretch>
          <a:fillRect/>
        </a:stretch>
      </xdr:blipFill>
      <xdr:spPr bwMode="auto">
        <a:xfrm>
          <a:off x="81064" y="6647235"/>
          <a:ext cx="3480124" cy="64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113488</xdr:colOff>
      <xdr:row>36</xdr:row>
      <xdr:rowOff>32425</xdr:rowOff>
    </xdr:from>
    <xdr:to>
      <xdr:col>4</xdr:col>
      <xdr:colOff>108085</xdr:colOff>
      <xdr:row>40</xdr:row>
      <xdr:rowOff>59447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8CECA1FA-1032-FBFA-A1A9-000CD9B03A03}"/>
            </a:ext>
          </a:extLst>
        </xdr:cNvPr>
        <xdr:cNvSpPr/>
      </xdr:nvSpPr>
      <xdr:spPr>
        <a:xfrm>
          <a:off x="724169" y="6647234"/>
          <a:ext cx="1826639" cy="762000"/>
        </a:xfrm>
        <a:prstGeom prst="ellipse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470170</xdr:colOff>
      <xdr:row>36</xdr:row>
      <xdr:rowOff>28100</xdr:rowOff>
    </xdr:from>
    <xdr:to>
      <xdr:col>5</xdr:col>
      <xdr:colOff>444229</xdr:colOff>
      <xdr:row>40</xdr:row>
      <xdr:rowOff>55122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221DD505-A7AE-4E31-9448-D78AC6435EF9}"/>
            </a:ext>
          </a:extLst>
        </xdr:cNvPr>
        <xdr:cNvSpPr/>
      </xdr:nvSpPr>
      <xdr:spPr>
        <a:xfrm>
          <a:off x="2302213" y="6642909"/>
          <a:ext cx="1195420" cy="762000"/>
        </a:xfrm>
        <a:prstGeom prst="ellipse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4</xdr:row>
      <xdr:rowOff>60960</xdr:rowOff>
    </xdr:from>
    <xdr:to>
      <xdr:col>2</xdr:col>
      <xdr:colOff>99060</xdr:colOff>
      <xdr:row>21</xdr:row>
      <xdr:rowOff>175260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A0A176-7709-8F90-5F13-6208C9D6F888}"/>
            </a:ext>
          </a:extLst>
        </xdr:cNvPr>
        <xdr:cNvSpPr/>
      </xdr:nvSpPr>
      <xdr:spPr>
        <a:xfrm>
          <a:off x="1249680" y="792480"/>
          <a:ext cx="68580" cy="32232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114300</xdr:colOff>
      <xdr:row>4</xdr:row>
      <xdr:rowOff>60960</xdr:rowOff>
    </xdr:from>
    <xdr:to>
      <xdr:col>3</xdr:col>
      <xdr:colOff>594360</xdr:colOff>
      <xdr:row>21</xdr:row>
      <xdr:rowOff>175260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FA69D3C-18FD-4FD6-A48C-48C1B6BCC27F}"/>
            </a:ext>
          </a:extLst>
        </xdr:cNvPr>
        <xdr:cNvSpPr/>
      </xdr:nvSpPr>
      <xdr:spPr>
        <a:xfrm>
          <a:off x="1333500" y="792480"/>
          <a:ext cx="1089660" cy="322326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594360</xdr:colOff>
      <xdr:row>4</xdr:row>
      <xdr:rowOff>60960</xdr:rowOff>
    </xdr:from>
    <xdr:to>
      <xdr:col>4</xdr:col>
      <xdr:colOff>502920</xdr:colOff>
      <xdr:row>21</xdr:row>
      <xdr:rowOff>175260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EC054C6-74B2-4E06-856A-71C643488BB0}"/>
            </a:ext>
          </a:extLst>
        </xdr:cNvPr>
        <xdr:cNvSpPr/>
      </xdr:nvSpPr>
      <xdr:spPr>
        <a:xfrm>
          <a:off x="2423160" y="792480"/>
          <a:ext cx="518160" cy="3223260"/>
        </a:xfrm>
        <a:prstGeom prst="rect">
          <a:avLst/>
        </a:prstGeom>
        <a:pattFill prst="wave">
          <a:fgClr>
            <a:schemeClr val="accent6">
              <a:lumMod val="60000"/>
              <a:lumOff val="40000"/>
            </a:schemeClr>
          </a:fgClr>
          <a:bgClr>
            <a:schemeClr val="bg1"/>
          </a:bgClr>
        </a:patt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327660</xdr:colOff>
      <xdr:row>4</xdr:row>
      <xdr:rowOff>53340</xdr:rowOff>
    </xdr:from>
    <xdr:to>
      <xdr:col>5</xdr:col>
      <xdr:colOff>396240</xdr:colOff>
      <xdr:row>21</xdr:row>
      <xdr:rowOff>167640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A7643C8-516B-4E4B-8558-D440F21130C1}"/>
            </a:ext>
          </a:extLst>
        </xdr:cNvPr>
        <xdr:cNvSpPr/>
      </xdr:nvSpPr>
      <xdr:spPr>
        <a:xfrm>
          <a:off x="3375660" y="784860"/>
          <a:ext cx="68580" cy="32232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DCF3-0603-4908-B8C4-A286BFC14C45}">
  <dimension ref="A1:P46"/>
  <sheetViews>
    <sheetView topLeftCell="A10" zoomScale="141" zoomScaleNormal="141" workbookViewId="0">
      <selection activeCell="E46" sqref="E46"/>
    </sheetView>
  </sheetViews>
  <sheetFormatPr defaultRowHeight="14.4" x14ac:dyDescent="0.3"/>
  <cols>
    <col min="4" max="4" width="12.21875" bestFit="1" customWidth="1"/>
    <col min="14" max="14" width="21.5546875" customWidth="1"/>
  </cols>
  <sheetData>
    <row r="1" spans="1:15" x14ac:dyDescent="0.3">
      <c r="A1" t="s">
        <v>0</v>
      </c>
    </row>
    <row r="3" spans="1:15" x14ac:dyDescent="0.3">
      <c r="D3" t="s">
        <v>1</v>
      </c>
      <c r="E3">
        <v>20</v>
      </c>
      <c r="F3" t="s">
        <v>11</v>
      </c>
      <c r="G3" t="s">
        <v>36</v>
      </c>
      <c r="H3" s="2">
        <v>0.7</v>
      </c>
    </row>
    <row r="4" spans="1:15" x14ac:dyDescent="0.3">
      <c r="D4" t="s">
        <v>2</v>
      </c>
      <c r="E4">
        <v>0</v>
      </c>
      <c r="F4" t="s">
        <v>11</v>
      </c>
      <c r="G4" t="s">
        <v>37</v>
      </c>
      <c r="H4" s="2">
        <v>0.9</v>
      </c>
      <c r="O4" t="s">
        <v>56</v>
      </c>
    </row>
    <row r="5" spans="1:15" x14ac:dyDescent="0.3">
      <c r="D5" t="s">
        <v>3</v>
      </c>
      <c r="E5">
        <v>0.03</v>
      </c>
      <c r="F5" t="s">
        <v>5</v>
      </c>
      <c r="G5" t="s">
        <v>6</v>
      </c>
      <c r="H5">
        <v>0.6</v>
      </c>
      <c r="I5" t="s">
        <v>4</v>
      </c>
      <c r="J5" t="s">
        <v>38</v>
      </c>
      <c r="K5" s="3">
        <v>8.4999999999999994E-8</v>
      </c>
      <c r="L5" s="3"/>
      <c r="M5" t="s">
        <v>41</v>
      </c>
      <c r="N5" s="3" t="s">
        <v>53</v>
      </c>
      <c r="O5">
        <v>8</v>
      </c>
    </row>
    <row r="6" spans="1:15" x14ac:dyDescent="0.3">
      <c r="D6" t="s">
        <v>7</v>
      </c>
      <c r="E6">
        <v>0.25</v>
      </c>
      <c r="F6" t="s">
        <v>5</v>
      </c>
      <c r="G6" t="s">
        <v>9</v>
      </c>
      <c r="H6">
        <v>0.4</v>
      </c>
      <c r="I6" t="s">
        <v>4</v>
      </c>
      <c r="J6" t="s">
        <v>39</v>
      </c>
      <c r="K6" s="3">
        <v>8.4999999999999994E-8</v>
      </c>
      <c r="L6" s="3"/>
      <c r="M6" t="s">
        <v>41</v>
      </c>
      <c r="N6" s="3" t="s">
        <v>55</v>
      </c>
      <c r="O6">
        <v>8</v>
      </c>
    </row>
    <row r="7" spans="1:15" x14ac:dyDescent="0.3">
      <c r="D7" t="s">
        <v>8</v>
      </c>
      <c r="E7">
        <v>0.02</v>
      </c>
      <c r="F7" t="s">
        <v>5</v>
      </c>
      <c r="G7" t="s">
        <v>10</v>
      </c>
      <c r="H7">
        <v>2</v>
      </c>
      <c r="I7" t="s">
        <v>4</v>
      </c>
      <c r="J7" t="s">
        <v>40</v>
      </c>
      <c r="K7" s="3">
        <v>4.4999999999999999E-8</v>
      </c>
      <c r="L7" s="3"/>
      <c r="M7" t="s">
        <v>41</v>
      </c>
      <c r="N7" s="3" t="s">
        <v>54</v>
      </c>
      <c r="O7">
        <v>15</v>
      </c>
    </row>
    <row r="8" spans="1:15" x14ac:dyDescent="0.3">
      <c r="D8" t="s">
        <v>14</v>
      </c>
      <c r="E8">
        <v>8</v>
      </c>
      <c r="F8" t="s">
        <v>12</v>
      </c>
      <c r="G8" t="s">
        <v>13</v>
      </c>
      <c r="H8">
        <v>20</v>
      </c>
      <c r="I8" t="s">
        <v>12</v>
      </c>
    </row>
    <row r="9" spans="1:15" x14ac:dyDescent="0.3">
      <c r="D9" t="s">
        <v>15</v>
      </c>
      <c r="E9">
        <v>10</v>
      </c>
      <c r="F9" t="s">
        <v>16</v>
      </c>
    </row>
    <row r="18" spans="1:16" x14ac:dyDescent="0.3">
      <c r="K18" t="s">
        <v>52</v>
      </c>
      <c r="L18" t="s">
        <v>57</v>
      </c>
      <c r="M18" t="s">
        <v>34</v>
      </c>
      <c r="O18" t="s">
        <v>50</v>
      </c>
    </row>
    <row r="19" spans="1:16" x14ac:dyDescent="0.3">
      <c r="H19" t="s">
        <v>1</v>
      </c>
      <c r="I19">
        <f>Tin</f>
        <v>20</v>
      </c>
      <c r="J19" t="s">
        <v>11</v>
      </c>
      <c r="K19">
        <v>0</v>
      </c>
      <c r="L19">
        <v>0</v>
      </c>
      <c r="M19">
        <v>2338.8000000000002</v>
      </c>
      <c r="N19" t="s">
        <v>49</v>
      </c>
      <c r="O19">
        <f>M19*Phiin</f>
        <v>1637.16</v>
      </c>
    </row>
    <row r="20" spans="1:16" x14ac:dyDescent="0.3">
      <c r="A20" t="s">
        <v>17</v>
      </c>
      <c r="C20">
        <f>1/hin</f>
        <v>0.125</v>
      </c>
      <c r="D20" t="s">
        <v>18</v>
      </c>
      <c r="F20" t="s">
        <v>29</v>
      </c>
      <c r="I20" s="1">
        <f>Tin-qpunto*C20</f>
        <v>17.093023255813954</v>
      </c>
      <c r="J20" t="s">
        <v>11</v>
      </c>
      <c r="K20">
        <v>0.2</v>
      </c>
      <c r="L20">
        <v>0.2</v>
      </c>
      <c r="M20">
        <v>1950.6</v>
      </c>
      <c r="N20" t="s">
        <v>49</v>
      </c>
      <c r="O20">
        <f>Phiin*M19</f>
        <v>1637.16</v>
      </c>
    </row>
    <row r="21" spans="1:16" x14ac:dyDescent="0.3">
      <c r="A21" t="s">
        <v>19</v>
      </c>
      <c r="C21">
        <f>s_1/Lam_1</f>
        <v>0.05</v>
      </c>
      <c r="D21" t="s">
        <v>18</v>
      </c>
      <c r="F21" t="s">
        <v>30</v>
      </c>
      <c r="I21" s="1">
        <f>I20-qpunto*C21</f>
        <v>15.930232558139535</v>
      </c>
      <c r="J21" t="s">
        <v>11</v>
      </c>
      <c r="K21">
        <f>K20+s_1</f>
        <v>0.23</v>
      </c>
      <c r="L21">
        <f>L20+s_1*Mu_1</f>
        <v>0.44</v>
      </c>
      <c r="M21">
        <v>1807.1</v>
      </c>
      <c r="N21" t="s">
        <v>58</v>
      </c>
      <c r="O21">
        <f>O20-jpunto*C31</f>
        <v>1534.5335664335666</v>
      </c>
    </row>
    <row r="22" spans="1:16" x14ac:dyDescent="0.3">
      <c r="A22" t="s">
        <v>20</v>
      </c>
      <c r="C22">
        <f>s_2/Lam_2</f>
        <v>0.625</v>
      </c>
      <c r="D22" t="s">
        <v>18</v>
      </c>
      <c r="F22" t="s">
        <v>31</v>
      </c>
      <c r="I22" s="1">
        <f>I21-qpunto*C22</f>
        <v>1.395348837209303</v>
      </c>
      <c r="J22" t="s">
        <v>11</v>
      </c>
      <c r="K22">
        <f>K21+s_2</f>
        <v>0.48</v>
      </c>
      <c r="L22">
        <f>L21+s_2*Mu_2</f>
        <v>2.44</v>
      </c>
      <c r="M22">
        <v>676.7</v>
      </c>
      <c r="N22" t="s">
        <v>59</v>
      </c>
      <c r="O22" s="4">
        <f>O21-jpunto*C32</f>
        <v>679.31328671328708</v>
      </c>
      <c r="P22" t="s">
        <v>51</v>
      </c>
    </row>
    <row r="23" spans="1:16" x14ac:dyDescent="0.3">
      <c r="A23" t="s">
        <v>21</v>
      </c>
      <c r="C23">
        <f>s_3/Lam_3</f>
        <v>0.01</v>
      </c>
      <c r="D23" t="s">
        <v>18</v>
      </c>
      <c r="F23" t="s">
        <v>32</v>
      </c>
      <c r="I23" s="1">
        <f>I22-qpunto*C23</f>
        <v>1.1627906976744193</v>
      </c>
      <c r="J23" t="s">
        <v>11</v>
      </c>
      <c r="K23">
        <f>K22+s_3</f>
        <v>0.5</v>
      </c>
      <c r="L23">
        <f>L22+s_3*Mu_3</f>
        <v>2.7399999999999998</v>
      </c>
      <c r="M23">
        <v>666.9</v>
      </c>
      <c r="N23" t="s">
        <v>60</v>
      </c>
      <c r="O23">
        <f>O22-jpunto*C33</f>
        <v>550.08000000000038</v>
      </c>
    </row>
    <row r="24" spans="1:16" x14ac:dyDescent="0.3">
      <c r="A24" t="s">
        <v>22</v>
      </c>
      <c r="C24">
        <f>1/hout</f>
        <v>0.05</v>
      </c>
      <c r="D24" t="s">
        <v>18</v>
      </c>
      <c r="F24" t="s">
        <v>33</v>
      </c>
      <c r="I24">
        <f>I23-qpunto*C24</f>
        <v>0</v>
      </c>
      <c r="J24" t="s">
        <v>11</v>
      </c>
      <c r="K24">
        <f>K23+0.2</f>
        <v>0.7</v>
      </c>
      <c r="L24">
        <f>L23+0.2</f>
        <v>2.94</v>
      </c>
      <c r="M24">
        <v>611.20000000000005</v>
      </c>
      <c r="O24">
        <f>M24*Phiout</f>
        <v>550.08000000000004</v>
      </c>
    </row>
    <row r="25" spans="1:16" x14ac:dyDescent="0.3">
      <c r="B25" t="s">
        <v>23</v>
      </c>
      <c r="C25">
        <f>SUM(C20:C24)</f>
        <v>0.8600000000000001</v>
      </c>
      <c r="D25" t="s">
        <v>18</v>
      </c>
    </row>
    <row r="26" spans="1:16" x14ac:dyDescent="0.3">
      <c r="A26" t="s">
        <v>24</v>
      </c>
      <c r="C26">
        <f>1/C25</f>
        <v>1.1627906976744184</v>
      </c>
      <c r="D26" t="s">
        <v>12</v>
      </c>
    </row>
    <row r="27" spans="1:16" x14ac:dyDescent="0.3">
      <c r="A27" t="s">
        <v>25</v>
      </c>
      <c r="D27">
        <f>(Tin-Tout)/C25</f>
        <v>23.255813953488371</v>
      </c>
      <c r="E27" t="s">
        <v>26</v>
      </c>
    </row>
    <row r="28" spans="1:16" x14ac:dyDescent="0.3">
      <c r="A28" t="s">
        <v>27</v>
      </c>
      <c r="D28">
        <f>qpunto*S</f>
        <v>232.55813953488371</v>
      </c>
      <c r="E28" t="s">
        <v>28</v>
      </c>
    </row>
    <row r="30" spans="1:16" x14ac:dyDescent="0.3">
      <c r="A30" t="s">
        <v>35</v>
      </c>
    </row>
    <row r="31" spans="1:16" x14ac:dyDescent="0.3">
      <c r="A31" t="s">
        <v>42</v>
      </c>
      <c r="C31">
        <f>s_1/Dv_1</f>
        <v>352941.17647058825</v>
      </c>
      <c r="D31" t="s">
        <v>45</v>
      </c>
    </row>
    <row r="32" spans="1:16" x14ac:dyDescent="0.3">
      <c r="A32" t="s">
        <v>43</v>
      </c>
      <c r="C32">
        <f>s_2/Dv_2</f>
        <v>2941176.4705882357</v>
      </c>
      <c r="D32" t="s">
        <v>45</v>
      </c>
    </row>
    <row r="33" spans="1:5" x14ac:dyDescent="0.3">
      <c r="A33" t="s">
        <v>44</v>
      </c>
      <c r="C33">
        <f>s_3/Dv_3</f>
        <v>444444.44444444444</v>
      </c>
      <c r="D33" t="s">
        <v>45</v>
      </c>
    </row>
    <row r="34" spans="1:5" x14ac:dyDescent="0.3">
      <c r="B34" t="s">
        <v>46</v>
      </c>
      <c r="C34">
        <f>SUM(C31:C33)</f>
        <v>3738562.0915032686</v>
      </c>
      <c r="D34" t="s">
        <v>45</v>
      </c>
    </row>
    <row r="35" spans="1:5" x14ac:dyDescent="0.3">
      <c r="A35" t="s">
        <v>47</v>
      </c>
      <c r="D35">
        <f>(O19-O24)/C34</f>
        <v>2.9077489510489504E-4</v>
      </c>
      <c r="E35" t="s">
        <v>48</v>
      </c>
    </row>
    <row r="42" spans="1:5" x14ac:dyDescent="0.3">
      <c r="A42" t="s">
        <v>61</v>
      </c>
      <c r="C42">
        <f>M22</f>
        <v>676.7</v>
      </c>
      <c r="D42" t="s">
        <v>62</v>
      </c>
    </row>
    <row r="43" spans="1:5" x14ac:dyDescent="0.3">
      <c r="A43" s="5" t="s">
        <v>63</v>
      </c>
      <c r="D43">
        <f>(O20-C42)/(C31+C32)</f>
        <v>2.9156821428571425E-4</v>
      </c>
      <c r="E43" t="s">
        <v>48</v>
      </c>
    </row>
    <row r="44" spans="1:5" x14ac:dyDescent="0.3">
      <c r="A44" s="6" t="s">
        <v>64</v>
      </c>
      <c r="D44">
        <f>(C42-O23)/C33</f>
        <v>2.8489499999999926E-4</v>
      </c>
      <c r="E44" t="s">
        <v>48</v>
      </c>
    </row>
    <row r="45" spans="1:5" x14ac:dyDescent="0.3">
      <c r="B45" t="s">
        <v>65</v>
      </c>
      <c r="D45">
        <f>D43-D44</f>
        <v>6.6732142857149949E-6</v>
      </c>
      <c r="E45" t="s">
        <v>48</v>
      </c>
    </row>
    <row r="46" spans="1:5" x14ac:dyDescent="0.3">
      <c r="D46">
        <f>D45*24*90</f>
        <v>1.4414142857144388E-2</v>
      </c>
      <c r="E46" t="s">
        <v>66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95348-B218-4D70-92F6-28D1031B8F87}">
  <dimension ref="A1:M32"/>
  <sheetViews>
    <sheetView tabSelected="1" topLeftCell="B5" workbookViewId="0">
      <selection activeCell="D28" sqref="D28"/>
    </sheetView>
  </sheetViews>
  <sheetFormatPr defaultRowHeight="14.4" x14ac:dyDescent="0.3"/>
  <sheetData>
    <row r="1" spans="1:8" x14ac:dyDescent="0.3">
      <c r="A1" t="s">
        <v>67</v>
      </c>
    </row>
    <row r="10" spans="1:8" x14ac:dyDescent="0.3">
      <c r="A10" t="s">
        <v>83</v>
      </c>
      <c r="B10">
        <v>0.7</v>
      </c>
      <c r="G10" t="s">
        <v>84</v>
      </c>
      <c r="H10">
        <v>0.9</v>
      </c>
    </row>
    <row r="22" spans="1:13" x14ac:dyDescent="0.3">
      <c r="H22" t="s">
        <v>52</v>
      </c>
      <c r="J22" t="s">
        <v>79</v>
      </c>
      <c r="K22" t="s">
        <v>80</v>
      </c>
      <c r="M22" t="s">
        <v>82</v>
      </c>
    </row>
    <row r="23" spans="1:13" x14ac:dyDescent="0.3">
      <c r="H23">
        <v>0</v>
      </c>
      <c r="I23" t="s">
        <v>77</v>
      </c>
      <c r="J23">
        <f>20</f>
        <v>20</v>
      </c>
      <c r="K23">
        <v>2338</v>
      </c>
      <c r="L23" t="s">
        <v>81</v>
      </c>
      <c r="M23">
        <f>K23*Phi_1</f>
        <v>1636.6</v>
      </c>
    </row>
    <row r="24" spans="1:13" x14ac:dyDescent="0.3">
      <c r="A24" t="s">
        <v>68</v>
      </c>
      <c r="D24" t="s">
        <v>73</v>
      </c>
      <c r="E24" t="s">
        <v>74</v>
      </c>
      <c r="F24" t="s">
        <v>75</v>
      </c>
      <c r="G24" t="s">
        <v>76</v>
      </c>
      <c r="H24">
        <v>0.2</v>
      </c>
      <c r="I24">
        <f>1/8</f>
        <v>0.125</v>
      </c>
      <c r="J24" s="1">
        <f>J23-qp*(I24)</f>
        <v>19.462778204144282</v>
      </c>
      <c r="K24">
        <v>2266</v>
      </c>
      <c r="M24" s="7">
        <f>M23</f>
        <v>1636.6</v>
      </c>
    </row>
    <row r="25" spans="1:13" x14ac:dyDescent="0.3">
      <c r="A25" t="s">
        <v>69</v>
      </c>
      <c r="D25">
        <v>0.02</v>
      </c>
      <c r="E25">
        <v>0.4</v>
      </c>
      <c r="F25" s="3">
        <v>8.4999999999999994E-8</v>
      </c>
      <c r="G25">
        <v>8</v>
      </c>
      <c r="H25">
        <f>H24+D25</f>
        <v>0.22</v>
      </c>
      <c r="I25">
        <f>D25/E25</f>
        <v>4.9999999999999996E-2</v>
      </c>
      <c r="J25" s="1">
        <f>J24-qp*(I25)</f>
        <v>19.247889485801995</v>
      </c>
      <c r="K25">
        <v>2237</v>
      </c>
      <c r="L25" s="3">
        <f>D25/F25</f>
        <v>235294.11764705885</v>
      </c>
      <c r="M25" s="1">
        <f>M24-jp*L25</f>
        <v>1581.6544943820224</v>
      </c>
    </row>
    <row r="26" spans="1:13" x14ac:dyDescent="0.3">
      <c r="A26" t="s">
        <v>70</v>
      </c>
      <c r="D26">
        <v>0.3</v>
      </c>
      <c r="E26">
        <v>0.3</v>
      </c>
      <c r="F26" s="3">
        <v>8.4999999999999994E-8</v>
      </c>
      <c r="G26">
        <v>8</v>
      </c>
      <c r="H26">
        <f t="shared" ref="H26:H28" si="0">H25+D26</f>
        <v>0.52</v>
      </c>
      <c r="I26">
        <f>D26/E26</f>
        <v>1</v>
      </c>
      <c r="J26" s="1">
        <f>J25-qp*(I26)</f>
        <v>14.950115118956253</v>
      </c>
      <c r="K26">
        <v>1701</v>
      </c>
      <c r="L26" s="3">
        <f>D26/F26</f>
        <v>3529411.7647058824</v>
      </c>
      <c r="M26" s="1">
        <f>M25-jp*L26</f>
        <v>757.47191011235952</v>
      </c>
    </row>
    <row r="27" spans="1:13" x14ac:dyDescent="0.3">
      <c r="A27" t="s">
        <v>71</v>
      </c>
      <c r="D27">
        <v>0.12</v>
      </c>
      <c r="E27">
        <v>3.5000000000000003E-2</v>
      </c>
      <c r="F27" s="3">
        <v>1.35E-7</v>
      </c>
      <c r="G27">
        <v>5</v>
      </c>
      <c r="H27">
        <f t="shared" si="0"/>
        <v>0.64</v>
      </c>
      <c r="I27">
        <f>D27/E27</f>
        <v>3.4285714285714279</v>
      </c>
      <c r="J27" s="1">
        <f>J26-qp*(I27)</f>
        <v>0.21488871834228362</v>
      </c>
      <c r="K27">
        <v>620</v>
      </c>
      <c r="L27" s="3">
        <f>D27/F27</f>
        <v>888888.88888888888</v>
      </c>
      <c r="M27" s="8">
        <f>M26-jp*L27</f>
        <v>549.9</v>
      </c>
    </row>
    <row r="28" spans="1:13" x14ac:dyDescent="0.3">
      <c r="A28" t="s">
        <v>72</v>
      </c>
      <c r="D28">
        <v>0.02</v>
      </c>
      <c r="E28">
        <v>0.8</v>
      </c>
      <c r="F28" s="3">
        <v>4.4999999999999999E-8</v>
      </c>
      <c r="G28">
        <v>15</v>
      </c>
      <c r="H28">
        <f t="shared" si="0"/>
        <v>0.66</v>
      </c>
      <c r="J28" s="1">
        <f>J27-qp*(I28)</f>
        <v>0.21488871834228362</v>
      </c>
      <c r="K28">
        <v>616</v>
      </c>
      <c r="L28" s="3">
        <v>0</v>
      </c>
      <c r="M28" s="7">
        <f>M29</f>
        <v>549.9</v>
      </c>
    </row>
    <row r="29" spans="1:13" x14ac:dyDescent="0.3">
      <c r="H29">
        <f>H28+0.2</f>
        <v>0.8600000000000001</v>
      </c>
      <c r="I29">
        <f>1/20</f>
        <v>0.05</v>
      </c>
      <c r="J29" s="1">
        <f>J28-qp*(I29)</f>
        <v>-3.4694469519536142E-15</v>
      </c>
      <c r="K29">
        <v>611</v>
      </c>
      <c r="M29">
        <f>K29*Phi_2</f>
        <v>549.9</v>
      </c>
    </row>
    <row r="30" spans="1:13" x14ac:dyDescent="0.3">
      <c r="H30" t="s">
        <v>23</v>
      </c>
      <c r="I30">
        <f>SUM(I24:I29)</f>
        <v>4.6535714285714276</v>
      </c>
      <c r="K30" t="s">
        <v>46</v>
      </c>
      <c r="L30" s="3">
        <f>SUM(L25:L28)</f>
        <v>4653594.7712418297</v>
      </c>
    </row>
    <row r="31" spans="1:13" x14ac:dyDescent="0.3">
      <c r="H31" t="s">
        <v>78</v>
      </c>
      <c r="I31">
        <f>20/I30</f>
        <v>4.2977743668457418</v>
      </c>
      <c r="K31" t="s">
        <v>85</v>
      </c>
      <c r="L31" s="3">
        <f>(M24-M28)/L30</f>
        <v>2.3351839887640448E-4</v>
      </c>
    </row>
    <row r="32" spans="1:13" x14ac:dyDescent="0.3">
      <c r="H32" t="s">
        <v>86</v>
      </c>
      <c r="I32">
        <f>1/I30</f>
        <v>0.21488871834228707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Glaser-1</vt:lpstr>
      <vt:lpstr>Glaser-2</vt:lpstr>
      <vt:lpstr>Dv_1</vt:lpstr>
      <vt:lpstr>Dv_2</vt:lpstr>
      <vt:lpstr>Dv_3</vt:lpstr>
      <vt:lpstr>hin</vt:lpstr>
      <vt:lpstr>hout</vt:lpstr>
      <vt:lpstr>jp</vt:lpstr>
      <vt:lpstr>jpunto</vt:lpstr>
      <vt:lpstr>Lam_1</vt:lpstr>
      <vt:lpstr>Lam_2</vt:lpstr>
      <vt:lpstr>Lam_3</vt:lpstr>
      <vt:lpstr>Mu_1</vt:lpstr>
      <vt:lpstr>Mu_2</vt:lpstr>
      <vt:lpstr>Mu_3</vt:lpstr>
      <vt:lpstr>Phi_1</vt:lpstr>
      <vt:lpstr>Phi_2</vt:lpstr>
      <vt:lpstr>Phiin</vt:lpstr>
      <vt:lpstr>Phiout</vt:lpstr>
      <vt:lpstr>qp</vt:lpstr>
      <vt:lpstr>qpunto</vt:lpstr>
      <vt:lpstr>S</vt:lpstr>
      <vt:lpstr>s_1</vt:lpstr>
      <vt:lpstr>s_2</vt:lpstr>
      <vt:lpstr>s_3</vt:lpstr>
      <vt:lpstr>Tin</vt:lpstr>
      <vt:lpstr>Tout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2022-11-09T09:57:56Z</dcterms:created>
  <dcterms:modified xsi:type="dcterms:W3CDTF">2022-11-09T12:35:02Z</dcterms:modified>
</cp:coreProperties>
</file>